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JORGE\ILUMET\WEB\"/>
    </mc:Choice>
  </mc:AlternateContent>
  <bookViews>
    <workbookView xWindow="0" yWindow="0" windowWidth="28680" windowHeight="11835"/>
  </bookViews>
  <sheets>
    <sheet name="CALCULO APROXIMADO DE ELEMENTOS" sheetId="6" r:id="rId1"/>
    <sheet name="DATOS" sheetId="3" state="hidden" r:id="rId2"/>
  </sheets>
  <definedNames>
    <definedName name="_xlnm.Print_Area" localSheetId="0">'CALCULO APROXIMADO DE ELEMENTOS'!$A$1:$F$57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6" l="1"/>
  <c r="E55" i="6"/>
  <c r="E52" i="6"/>
  <c r="E53" i="6"/>
  <c r="E50" i="6"/>
  <c r="E46" i="6"/>
  <c r="E45" i="6"/>
  <c r="E42" i="6"/>
  <c r="E41" i="6"/>
  <c r="E40" i="6"/>
  <c r="E39" i="6"/>
  <c r="D26" i="6"/>
  <c r="H25" i="6" l="1"/>
  <c r="H26" i="6"/>
  <c r="E24" i="6" l="1"/>
  <c r="E25" i="6"/>
  <c r="E22" i="6" s="1"/>
  <c r="E26" i="6"/>
  <c r="E23" i="6"/>
  <c r="E43" i="6"/>
  <c r="E30" i="6"/>
  <c r="E27" i="6"/>
  <c r="E28" i="6" s="1"/>
  <c r="E29" i="6" l="1"/>
  <c r="E33" i="6"/>
  <c r="E54" i="6"/>
  <c r="G40" i="6"/>
  <c r="H40" i="6" s="1"/>
  <c r="G41" i="6"/>
  <c r="I26" i="6"/>
  <c r="B40" i="6"/>
  <c r="G47" i="6"/>
  <c r="H47" i="6" s="1"/>
  <c r="G51" i="6"/>
  <c r="G53" i="6"/>
  <c r="G56" i="6"/>
  <c r="G57" i="6"/>
  <c r="A46" i="6"/>
  <c r="B46" i="6" s="1"/>
  <c r="A45" i="6"/>
  <c r="B45" i="6" s="1"/>
  <c r="A48" i="6"/>
  <c r="G48" i="6" s="1"/>
  <c r="G44" i="6"/>
  <c r="H44" i="6" s="1"/>
  <c r="B26" i="6"/>
  <c r="B25" i="6"/>
  <c r="I44" i="6" l="1"/>
  <c r="E34" i="6"/>
  <c r="I40" i="6"/>
  <c r="G46" i="6"/>
  <c r="H46" i="6" s="1"/>
  <c r="G45" i="6"/>
  <c r="H45" i="6" s="1"/>
  <c r="H23" i="6"/>
  <c r="H24" i="6"/>
  <c r="H22" i="6"/>
  <c r="I46" i="6" l="1"/>
  <c r="I45" i="6"/>
  <c r="G27" i="6"/>
  <c r="E89" i="3"/>
  <c r="E90" i="3"/>
  <c r="E91" i="3"/>
  <c r="E92" i="3"/>
  <c r="E69" i="3"/>
  <c r="E70" i="3"/>
  <c r="E71" i="3"/>
  <c r="E65" i="3"/>
  <c r="E45" i="3"/>
  <c r="E46" i="3"/>
  <c r="E47" i="3"/>
  <c r="E48" i="3"/>
  <c r="E49" i="3"/>
  <c r="E50" i="3"/>
  <c r="E52" i="3"/>
  <c r="E53" i="3"/>
  <c r="E54" i="3"/>
  <c r="E55" i="3"/>
  <c r="E56" i="3"/>
  <c r="E57" i="3"/>
  <c r="E58" i="3"/>
  <c r="E59" i="3"/>
  <c r="E60" i="3"/>
  <c r="E61" i="3"/>
  <c r="E38" i="3"/>
  <c r="E39" i="3"/>
  <c r="E21" i="3"/>
  <c r="E6" i="3"/>
  <c r="E7" i="3"/>
  <c r="E8" i="3"/>
  <c r="A28" i="6" l="1"/>
  <c r="B38" i="6"/>
  <c r="G38" i="6"/>
  <c r="H38" i="6" s="1"/>
  <c r="E32" i="6"/>
  <c r="E31" i="6"/>
  <c r="H57" i="6"/>
  <c r="H56" i="6"/>
  <c r="E56" i="6"/>
  <c r="E57" i="6" s="1"/>
  <c r="A55" i="6"/>
  <c r="A54" i="6"/>
  <c r="H53" i="6"/>
  <c r="H51" i="6"/>
  <c r="H48" i="6"/>
  <c r="G43" i="6"/>
  <c r="H43" i="6" s="1"/>
  <c r="G42" i="6"/>
  <c r="H42" i="6" s="1"/>
  <c r="H41" i="6"/>
  <c r="G39" i="6"/>
  <c r="H39" i="6" s="1"/>
  <c r="A37" i="6"/>
  <c r="B37" i="6" s="1"/>
  <c r="A36" i="6"/>
  <c r="G36" i="6" s="1"/>
  <c r="H36" i="6" s="1"/>
  <c r="G35" i="6"/>
  <c r="H35" i="6" s="1"/>
  <c r="G34" i="6"/>
  <c r="H34" i="6" s="1"/>
  <c r="G33" i="6"/>
  <c r="H33" i="6" s="1"/>
  <c r="A30" i="6"/>
  <c r="B30" i="6" s="1"/>
  <c r="H27" i="6"/>
  <c r="I25" i="6"/>
  <c r="I24" i="6"/>
  <c r="E37" i="6"/>
  <c r="E21" i="6"/>
  <c r="A21" i="6"/>
  <c r="B21" i="6" s="1"/>
  <c r="E20" i="6"/>
  <c r="A20" i="6"/>
  <c r="G20" i="6" s="1"/>
  <c r="H20" i="6" s="1"/>
  <c r="A16" i="6"/>
  <c r="E16" i="6" s="1"/>
  <c r="Q7" i="6"/>
  <c r="Q6" i="6"/>
  <c r="Q17" i="6" s="1"/>
  <c r="G54" i="6" l="1"/>
  <c r="H54" i="6" s="1"/>
  <c r="I54" i="6" s="1"/>
  <c r="B54" i="6"/>
  <c r="B55" i="6"/>
  <c r="G55" i="6"/>
  <c r="I20" i="6"/>
  <c r="I56" i="6"/>
  <c r="A50" i="6"/>
  <c r="B50" i="6" s="1"/>
  <c r="I53" i="6"/>
  <c r="E51" i="6"/>
  <c r="I51" i="6" s="1"/>
  <c r="I23" i="6"/>
  <c r="A49" i="6"/>
  <c r="G49" i="6" s="1"/>
  <c r="E38" i="6"/>
  <c r="I38" i="6" s="1"/>
  <c r="I27" i="6"/>
  <c r="I42" i="6"/>
  <c r="I39" i="6"/>
  <c r="I43" i="6"/>
  <c r="A29" i="6"/>
  <c r="B29" i="6" s="1"/>
  <c r="A31" i="6"/>
  <c r="B31" i="6" s="1"/>
  <c r="B48" i="6"/>
  <c r="B36" i="6"/>
  <c r="G37" i="6"/>
  <c r="B28" i="6"/>
  <c r="I57" i="6"/>
  <c r="E36" i="6"/>
  <c r="I36" i="6" s="1"/>
  <c r="E48" i="6"/>
  <c r="E49" i="6" s="1"/>
  <c r="B20" i="6"/>
  <c r="I22" i="6"/>
  <c r="Q18" i="6"/>
  <c r="I33" i="6"/>
  <c r="I41" i="6"/>
  <c r="E47" i="6"/>
  <c r="I47" i="6" s="1"/>
  <c r="H37" i="6" l="1"/>
  <c r="I37" i="6" s="1"/>
  <c r="G50" i="6"/>
  <c r="I48" i="6"/>
  <c r="B49" i="6"/>
  <c r="G31" i="6"/>
  <c r="H31" i="6" s="1"/>
  <c r="I31" i="6" s="1"/>
  <c r="E35" i="6"/>
  <c r="I35" i="6" s="1"/>
  <c r="I34" i="6"/>
  <c r="E297" i="3" l="1"/>
  <c r="H55" i="6" s="1"/>
  <c r="I55" i="6" s="1"/>
  <c r="E280" i="3"/>
  <c r="G21" i="6" s="1"/>
  <c r="H21" i="6" s="1"/>
  <c r="I21" i="6" s="1"/>
  <c r="E227" i="3"/>
  <c r="E196" i="3"/>
  <c r="E106" i="3"/>
  <c r="H49" i="6" s="1"/>
  <c r="I49" i="6" s="1"/>
  <c r="E87" i="3"/>
  <c r="E41" i="3"/>
  <c r="E42" i="3"/>
  <c r="E40" i="3"/>
  <c r="E275" i="3"/>
  <c r="E276" i="3"/>
  <c r="E277" i="3"/>
  <c r="E274" i="3"/>
  <c r="E270" i="3"/>
  <c r="E271" i="3"/>
  <c r="E269" i="3"/>
  <c r="E240" i="3"/>
  <c r="E241" i="3"/>
  <c r="E242" i="3"/>
  <c r="E243" i="3"/>
  <c r="E244" i="3"/>
  <c r="E239" i="3"/>
  <c r="E219" i="3"/>
  <c r="E220" i="3"/>
  <c r="E221" i="3"/>
  <c r="E222" i="3"/>
  <c r="E223" i="3"/>
  <c r="E224" i="3"/>
  <c r="E218" i="3"/>
  <c r="E207" i="3"/>
  <c r="E208" i="3"/>
  <c r="E209" i="3"/>
  <c r="E210" i="3"/>
  <c r="E211" i="3"/>
  <c r="E212" i="3"/>
  <c r="E206" i="3"/>
  <c r="E203" i="3"/>
  <c r="E202" i="3"/>
  <c r="E198" i="3"/>
  <c r="E199" i="3"/>
  <c r="G30" i="6" s="1"/>
  <c r="H30" i="6" s="1"/>
  <c r="I30" i="6" s="1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68" i="3"/>
  <c r="E163" i="3"/>
  <c r="E164" i="3"/>
  <c r="E165" i="3"/>
  <c r="E162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43" i="3"/>
  <c r="E76" i="3"/>
  <c r="E77" i="3"/>
  <c r="E78" i="3"/>
  <c r="E75" i="3"/>
  <c r="E72" i="3"/>
  <c r="E66" i="3"/>
  <c r="E28" i="3"/>
  <c r="E29" i="3"/>
  <c r="E30" i="3"/>
  <c r="E31" i="3"/>
  <c r="E32" i="3"/>
  <c r="E33" i="3"/>
  <c r="E34" i="3"/>
  <c r="E35" i="3"/>
  <c r="E27" i="3"/>
  <c r="E96" i="3"/>
  <c r="E97" i="3"/>
  <c r="E98" i="3"/>
  <c r="E99" i="3"/>
  <c r="E100" i="3"/>
  <c r="E101" i="3"/>
  <c r="E102" i="3"/>
  <c r="E104" i="3"/>
  <c r="E105" i="3"/>
  <c r="E107" i="3"/>
  <c r="E108" i="3"/>
  <c r="E109" i="3"/>
  <c r="E110" i="3"/>
  <c r="E111" i="3"/>
  <c r="E112" i="3"/>
  <c r="E113" i="3"/>
  <c r="E95" i="3"/>
  <c r="E117" i="3"/>
  <c r="E118" i="3"/>
  <c r="E119" i="3"/>
  <c r="E120" i="3"/>
  <c r="E116" i="3"/>
  <c r="E137" i="3"/>
  <c r="E138" i="3"/>
  <c r="E139" i="3"/>
  <c r="E140" i="3"/>
  <c r="E88" i="3"/>
  <c r="E86" i="3"/>
  <c r="E23" i="3"/>
  <c r="E24" i="3"/>
  <c r="E22" i="3"/>
  <c r="E17" i="3"/>
  <c r="E18" i="3"/>
  <c r="E16" i="3"/>
  <c r="E14" i="3"/>
  <c r="E11" i="3"/>
  <c r="E9" i="3"/>
  <c r="E10" i="3"/>
  <c r="G28" i="6" l="1"/>
  <c r="G29" i="6"/>
  <c r="J284" i="3"/>
  <c r="H283" i="3"/>
  <c r="J283" i="3"/>
  <c r="H29" i="6" l="1"/>
  <c r="I29" i="6" s="1"/>
  <c r="H28" i="6"/>
  <c r="I28" i="6" s="1"/>
  <c r="J7" i="3"/>
  <c r="J8" i="3"/>
  <c r="J9" i="3"/>
  <c r="J10" i="3"/>
  <c r="J11" i="3"/>
  <c r="J14" i="3"/>
  <c r="J16" i="3"/>
  <c r="J17" i="3"/>
  <c r="J18" i="3"/>
  <c r="J21" i="3"/>
  <c r="J22" i="3"/>
  <c r="J23" i="3"/>
  <c r="J24" i="3"/>
  <c r="J27" i="3"/>
  <c r="J28" i="3"/>
  <c r="J29" i="3"/>
  <c r="J30" i="3"/>
  <c r="J31" i="3"/>
  <c r="J32" i="3"/>
  <c r="J33" i="3"/>
  <c r="J34" i="3"/>
  <c r="J35" i="3"/>
  <c r="J38" i="3"/>
  <c r="J39" i="3"/>
  <c r="J40" i="3"/>
  <c r="J41" i="3"/>
  <c r="J42" i="3"/>
  <c r="J46" i="3"/>
  <c r="J47" i="3"/>
  <c r="J48" i="3"/>
  <c r="J49" i="3"/>
  <c r="J50" i="3"/>
  <c r="J52" i="3"/>
  <c r="J53" i="3"/>
  <c r="J54" i="3"/>
  <c r="J55" i="3"/>
  <c r="J56" i="3"/>
  <c r="J57" i="3"/>
  <c r="J58" i="3"/>
  <c r="J59" i="3"/>
  <c r="J60" i="3"/>
  <c r="J61" i="3"/>
  <c r="J65" i="3"/>
  <c r="A32" i="6" s="1"/>
  <c r="J66" i="3"/>
  <c r="J69" i="3"/>
  <c r="J70" i="3"/>
  <c r="J71" i="3"/>
  <c r="J72" i="3"/>
  <c r="J75" i="3"/>
  <c r="J76" i="3"/>
  <c r="J77" i="3"/>
  <c r="J78" i="3"/>
  <c r="J79" i="3"/>
  <c r="J80" i="3"/>
  <c r="J81" i="3"/>
  <c r="J82" i="3"/>
  <c r="J83" i="3"/>
  <c r="J86" i="3"/>
  <c r="J87" i="3"/>
  <c r="J88" i="3"/>
  <c r="J89" i="3"/>
  <c r="J90" i="3"/>
  <c r="J91" i="3"/>
  <c r="J95" i="3"/>
  <c r="J96" i="3"/>
  <c r="J97" i="3"/>
  <c r="J105" i="3"/>
  <c r="J106" i="3"/>
  <c r="J107" i="3"/>
  <c r="J108" i="3"/>
  <c r="J116" i="3"/>
  <c r="J117" i="3"/>
  <c r="J118" i="3"/>
  <c r="J119" i="3"/>
  <c r="J120" i="3"/>
  <c r="M131" i="3"/>
  <c r="M132" i="3"/>
  <c r="M133" i="3"/>
  <c r="M134" i="3"/>
  <c r="M135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6" i="3"/>
  <c r="H7" i="3"/>
  <c r="H8" i="3"/>
  <c r="H9" i="3"/>
  <c r="H10" i="3"/>
  <c r="H11" i="3"/>
  <c r="H14" i="3"/>
  <c r="H16" i="3"/>
  <c r="H17" i="3"/>
  <c r="H18" i="3"/>
  <c r="H21" i="3"/>
  <c r="H22" i="3"/>
  <c r="H23" i="3"/>
  <c r="H24" i="3"/>
  <c r="H27" i="3"/>
  <c r="H28" i="3"/>
  <c r="H29" i="3"/>
  <c r="H30" i="3"/>
  <c r="H31" i="3"/>
  <c r="H32" i="3"/>
  <c r="H33" i="3"/>
  <c r="H34" i="3"/>
  <c r="H35" i="3"/>
  <c r="H38" i="3"/>
  <c r="H39" i="3"/>
  <c r="H40" i="3"/>
  <c r="H41" i="3"/>
  <c r="H42" i="3"/>
  <c r="H46" i="3"/>
  <c r="H47" i="3"/>
  <c r="H48" i="3"/>
  <c r="H49" i="3"/>
  <c r="H50" i="3"/>
  <c r="H52" i="3"/>
  <c r="H53" i="3"/>
  <c r="H54" i="3"/>
  <c r="H55" i="3"/>
  <c r="H56" i="3"/>
  <c r="H57" i="3"/>
  <c r="H58" i="3"/>
  <c r="H59" i="3"/>
  <c r="H60" i="3"/>
  <c r="H61" i="3"/>
  <c r="H65" i="3"/>
  <c r="H66" i="3"/>
  <c r="H69" i="3"/>
  <c r="H70" i="3"/>
  <c r="H71" i="3"/>
  <c r="H72" i="3"/>
  <c r="H75" i="3"/>
  <c r="H76" i="3"/>
  <c r="H77" i="3"/>
  <c r="H78" i="3"/>
  <c r="H79" i="3"/>
  <c r="H80" i="3"/>
  <c r="H81" i="3"/>
  <c r="H82" i="3"/>
  <c r="H83" i="3"/>
  <c r="H86" i="3"/>
  <c r="H87" i="3"/>
  <c r="H88" i="3"/>
  <c r="H89" i="3"/>
  <c r="H90" i="3"/>
  <c r="H91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6" i="3"/>
  <c r="B32" i="6" l="1"/>
  <c r="G32" i="6"/>
  <c r="H32" i="6" s="1"/>
  <c r="I32" i="6" s="1"/>
  <c r="I59" i="6" s="1"/>
</calcChain>
</file>

<file path=xl/sharedStrings.xml><?xml version="1.0" encoding="utf-8"?>
<sst xmlns="http://schemas.openxmlformats.org/spreadsheetml/2006/main" count="703" uniqueCount="390">
  <si>
    <t>CODIGO</t>
  </si>
  <si>
    <t>DESCRIPCION</t>
  </si>
  <si>
    <t>CANT</t>
  </si>
  <si>
    <t>OBSERVACIONES</t>
  </si>
  <si>
    <t>DATO</t>
  </si>
  <si>
    <t>METROS DE LINEA</t>
  </si>
  <si>
    <t>VANO</t>
  </si>
  <si>
    <t xml:space="preserve">POSTE INICIO LINEA </t>
  </si>
  <si>
    <t xml:space="preserve">POSTE FINAL LINEA </t>
  </si>
  <si>
    <t>COMPUTO METRICO DE MATERIALES</t>
  </si>
  <si>
    <t>CANTIDAD DE MTS LINEALES , MAS 5%</t>
  </si>
  <si>
    <t>METROS DE CABLE PROTEGIDO 50mm ECO COMPAC</t>
  </si>
  <si>
    <t>CANTIDAD DE METROS LINEALES , MAS 5%</t>
  </si>
  <si>
    <t>CALCULO</t>
  </si>
  <si>
    <t xml:space="preserve">POSTES DE ALINEACION </t>
  </si>
  <si>
    <t>SE TOMA LONGITUD DE LINEA DIVIDIDO 50 MTS , MENOS 1 UNIDAD, PORQUE YA ES RETENCION</t>
  </si>
  <si>
    <t>CANTIDAD DE VANOS</t>
  </si>
  <si>
    <t>ESTO ES UN ESPACIADOR POR POSTE DE SUSPENSIÓN</t>
  </si>
  <si>
    <t>ES IGUAL A LA CANTIDAD DE ESPACIADORES PARA VANOS</t>
  </si>
  <si>
    <t>ES IGUAL A LA CANTIDAD DE ESP. VANOS X 3 UNID, MAS LA CANT. DE ESP. POSTE ALINEAC. X 3 UNIDADES</t>
  </si>
  <si>
    <t>ES IGUAL A LA CANTIDAD DE ESPACIADORES P/POSTES DE ALINEACION</t>
  </si>
  <si>
    <t>VA 2 UNIDADES P/MENSULA Y 1 PARA BRAZO ANTIBALANCEO</t>
  </si>
  <si>
    <t>SE TOMAN 1 UNID. P/CADA ABRAZADERA</t>
  </si>
  <si>
    <t>MN 60-BULON 12X90 P ABRAZADERA SUSP.</t>
  </si>
  <si>
    <t>SE TOMAN 2 UNID. P/CADA ABRAZADERA</t>
  </si>
  <si>
    <t>1 UNIDAD POR CADA POSTE SUSPENSIÓN</t>
  </si>
  <si>
    <t>ABRAZADERA DE Ø 350 C/ 1 ESCOTE P/RETENCIONES</t>
  </si>
  <si>
    <t>MN 60-BULON 12X90 P ABRAZADERA RETENC.</t>
  </si>
  <si>
    <t>2 BULONES POR ABRAZADERA RETENC.</t>
  </si>
  <si>
    <t>MN48 BULON 12X38 P/ RETENCIONES</t>
  </si>
  <si>
    <t>BRAZO TIPO "C" SOPORTE + SOPORTE AUX.TIPO ANGULO C/BULONES</t>
  </si>
  <si>
    <t>SE TOMAN 3 UNIDADES POR RETENCION</t>
  </si>
  <si>
    <t>OMN11-APDsH 15/70-AISL RET.ORG.HORQUILLA FAPA</t>
  </si>
  <si>
    <t>3 UNID POR CADA RETENCION</t>
  </si>
  <si>
    <t>0291</t>
  </si>
  <si>
    <r>
      <t>Conector 1995/10 E. CU. Dos Bulones p/ Lineas Protegidas C/TF 2 KG. SECC. 25-120/ 25-120 MM</t>
    </r>
    <r>
      <rPr>
        <vertAlign val="superscript"/>
        <sz val="9"/>
        <color indexed="8"/>
        <rFont val="Arial"/>
        <family val="2"/>
      </rPr>
      <t>2</t>
    </r>
    <r>
      <rPr>
        <sz val="9"/>
        <color indexed="8"/>
        <rFont val="Arial"/>
        <family val="2"/>
      </rPr>
      <t xml:space="preserve"> Y 25/120 mm2 / ESTRIBO 95 mm</t>
    </r>
    <r>
      <rPr>
        <vertAlign val="superscript"/>
        <sz val="9"/>
        <color indexed="8"/>
        <rFont val="Arial"/>
        <family val="2"/>
      </rPr>
      <t>2</t>
    </r>
    <r>
      <rPr>
        <sz val="9"/>
        <color indexed="8"/>
        <rFont val="Arial"/>
        <family val="2"/>
      </rPr>
      <t xml:space="preserve"> </t>
    </r>
  </si>
  <si>
    <t>1 EN CADA FASE Y EN CADA EXTREMO DE LA LINEA P/PUESTA A TIERRA</t>
  </si>
  <si>
    <t>9802</t>
  </si>
  <si>
    <t>Estribo de CU. Estañado Cerrado p/ Puesta a Tierra</t>
  </si>
  <si>
    <t>MN 224 HORQUILLA EPEC DE 1/2" CON PERNO DE 5/8"</t>
  </si>
  <si>
    <t>POSTES 11,50 /950 ( NO MENOR)</t>
  </si>
  <si>
    <t>DESCRIPCION DATOS</t>
  </si>
  <si>
    <t>VANO DE 50 MTS</t>
  </si>
  <si>
    <t>TENSION DE LINEA</t>
  </si>
  <si>
    <t xml:space="preserve">COD                                                                                                                          </t>
  </si>
  <si>
    <t xml:space="preserve"> DESCRIPCION  </t>
  </si>
  <si>
    <t xml:space="preserve">    U/M  </t>
  </si>
  <si>
    <t xml:space="preserve">   PRECIO     </t>
  </si>
  <si>
    <t xml:space="preserve">   BULTO</t>
  </si>
  <si>
    <t>Espaciador y Brazo</t>
  </si>
  <si>
    <t xml:space="preserve">Espaciador Polimérico Romboidal 13,2 KV.. </t>
  </si>
  <si>
    <t>c/u</t>
  </si>
  <si>
    <t>Brazo Antibalanceo 13,2 KV. P/ Espaciador</t>
  </si>
  <si>
    <t xml:space="preserve">Espaciador Polimérico Romboidal 33 KV. </t>
  </si>
  <si>
    <t>Brazo Antibalanceo 33 KV. P/ Espaciador</t>
  </si>
  <si>
    <t>Espaciador Polimérico Vertical 13,2 KV.</t>
  </si>
  <si>
    <t>Espaciador Polimérico Vertical 33 KV.</t>
  </si>
  <si>
    <t>SIN MATRIZ</t>
  </si>
  <si>
    <t>Espaciador Polimérico con garra de ajuste</t>
  </si>
  <si>
    <t>Espaciador Polimerico Romboidal 13,2 KV Con Garra De Ajuste</t>
  </si>
  <si>
    <t>PEDIR COTIZACION</t>
  </si>
  <si>
    <t>Espaciador Polimerico Romboidal 33 KV Con Garra De Ajuste</t>
  </si>
  <si>
    <t>Espaciador Polimerico Vertical 13,2 KV Con Garra De Ajuste</t>
  </si>
  <si>
    <t>Espaciador Polimerico Vertical 33 KV Con Garra De Ajuste</t>
  </si>
  <si>
    <t>Mensula de Hierro Estribo Móvil y Fijo</t>
  </si>
  <si>
    <t>Ménsula de Suspensión de Hierro P/ 13,2 KV. C/ Estribo Móvil</t>
  </si>
  <si>
    <t>REVISAR COSTOS</t>
  </si>
  <si>
    <t>Ménsula de Suspensión de Hierro P/ 33 KV. C/ Estribo Móvil</t>
  </si>
  <si>
    <t>Ménsula de Suspensión de Hierro P/ 13,2 KV. C/ Estribo Fijo</t>
  </si>
  <si>
    <t>Ménsula de Suspensión de Hierro P/ 33 KV. C/ Estribo Fijo</t>
  </si>
  <si>
    <t>Conectores - Morsas - Estribos</t>
  </si>
  <si>
    <t>0289</t>
  </si>
  <si>
    <t>7750</t>
  </si>
  <si>
    <t>Morsa MRAC p/ Linea Compacta</t>
  </si>
  <si>
    <t>9800</t>
  </si>
  <si>
    <t>Estribo de AL. Cerrado p/ Puesta a Tierra</t>
  </si>
  <si>
    <t>9801</t>
  </si>
  <si>
    <t>Estribo de CU. Cerrado p/ Puesta a Tierra</t>
  </si>
  <si>
    <t>9803</t>
  </si>
  <si>
    <t>Estribo de AL. Abierto p/ Puesta a Tierra</t>
  </si>
  <si>
    <t>9804</t>
  </si>
  <si>
    <t>Estribo de CU. Abierto p/ Puesta a Tierra</t>
  </si>
  <si>
    <t>9805</t>
  </si>
  <si>
    <t>Estribo de CU. Estañado Abierto p/ Puesta a Tierra</t>
  </si>
  <si>
    <t>Protector Extremo de Conductor 13,2 KV</t>
  </si>
  <si>
    <t>7790</t>
  </si>
  <si>
    <t>Protector P/25 MM. 13,2 KV</t>
  </si>
  <si>
    <t>S/MATRIZ</t>
  </si>
  <si>
    <t>7791</t>
  </si>
  <si>
    <t>Protector P/35 MM. 13,2 KV</t>
  </si>
  <si>
    <t>7792</t>
  </si>
  <si>
    <t>Protector P/50 MM. 13,2 KV</t>
  </si>
  <si>
    <t>7793</t>
  </si>
  <si>
    <t>Protector P/70 MM. 13,2 KV</t>
  </si>
  <si>
    <t>7794</t>
  </si>
  <si>
    <t>Protector P/95 MM. 13,2 KV</t>
  </si>
  <si>
    <t>7795</t>
  </si>
  <si>
    <t>Protector P/120 MM. 13,2 KV</t>
  </si>
  <si>
    <t>7796</t>
  </si>
  <si>
    <t>Protector P/150 MM. 13,2 KV</t>
  </si>
  <si>
    <t>7797</t>
  </si>
  <si>
    <t>Protector P/185 MM. 13,2 KV</t>
  </si>
  <si>
    <t>7798</t>
  </si>
  <si>
    <t>Protector P/240 MM. 13,2 KV</t>
  </si>
  <si>
    <t>7799</t>
  </si>
  <si>
    <t>Protector P/300 MM. 13,2 KV</t>
  </si>
  <si>
    <t>Protector Extremo de Conductor 33 KV</t>
  </si>
  <si>
    <t>9700</t>
  </si>
  <si>
    <t xml:space="preserve">Protector P/25 MM. 33 KV </t>
  </si>
  <si>
    <t>9701</t>
  </si>
  <si>
    <t>Protector P/35 MM. 33 KV</t>
  </si>
  <si>
    <t>9702</t>
  </si>
  <si>
    <t xml:space="preserve">Protector P/50 MM. 33 KV </t>
  </si>
  <si>
    <t>9703</t>
  </si>
  <si>
    <t xml:space="preserve">Protector P/70 MM. 33 KV </t>
  </si>
  <si>
    <t>9704</t>
  </si>
  <si>
    <t xml:space="preserve">Protector P/95 MM. 33 KV </t>
  </si>
  <si>
    <t>9705</t>
  </si>
  <si>
    <t xml:space="preserve">Protector P/120 MM. 33 KV </t>
  </si>
  <si>
    <t>9706</t>
  </si>
  <si>
    <t>Protector P/150 MM. 33 KV</t>
  </si>
  <si>
    <t>9707</t>
  </si>
  <si>
    <t xml:space="preserve">Protector P/185 MM. 33 KV </t>
  </si>
  <si>
    <t>9708</t>
  </si>
  <si>
    <t xml:space="preserve">Protector P/240 MM. 33 KV </t>
  </si>
  <si>
    <t>9709</t>
  </si>
  <si>
    <t>Protector P/300 MM. 33 KV</t>
  </si>
  <si>
    <t xml:space="preserve">Nota: para conductores fabricados bajo Norma IRAM 63005 y NBR 11873 (capa semiconductora + capa protectora). 
En caso de doble capa protectora  +  capa semiconductora, deberá informar del diámetro externo del conductor para seleccionar protector.
</t>
  </si>
  <si>
    <t>Anillo Siliconado</t>
  </si>
  <si>
    <t>Anillo de Silicona p/ Espaciador</t>
  </si>
  <si>
    <t>Anillo de Silicona p/ Aislador de 15 y 33 KV.</t>
  </si>
  <si>
    <t>Aisladores</t>
  </si>
  <si>
    <t>Aislador  MN 3</t>
  </si>
  <si>
    <t>Aislador  MN 3 a</t>
  </si>
  <si>
    <t>Aislador Organico PRT p/ Perno Fijo 13,2 KV.</t>
  </si>
  <si>
    <t>1085</t>
  </si>
  <si>
    <t>Aislador Organico PRT  33 KV. p/ Perno Rigido</t>
  </si>
  <si>
    <t xml:space="preserve">Perno MN411 y MN414 – Con cabeza poliamida y vástago roscado </t>
  </si>
  <si>
    <t>Perno Mn 411 Recto P/13,2 KV Cuerpo De Al Largo 180 Mm Cabeza De Plastico P/Mt 'Protegida Convencional Vastago Roscado 5/8 Incluye Tuerca Arandela Elast Y Plana</t>
  </si>
  <si>
    <t>Perno Mn 414 Recto P/33 KV Cuerpo De Al Cabeza De Plastico Largo 180 Mm  P/Mt Protegida Convencional Vastago Roscado 3/4 Incluye Tuerca Arandela Elast Y Plana</t>
  </si>
  <si>
    <t>Perno Mn 411 Recto P/13,2 KV Cuerpo De Al Cabeza De Plastico Largo 80 Mm V Roscado 5/8 P/Herrajes Compacta Incluye Tuerca Arandela Elast Y Plana</t>
  </si>
  <si>
    <t>Perno Mn 414 Recto P/33 KV Cuerpo De Al Cabeza De Plastico Largo 80mm P/Herrajes De Compacta Incluye Tuerca Arandela Elast Y Plana</t>
  </si>
  <si>
    <t>Herrajes para Línea Compacta</t>
  </si>
  <si>
    <t>Brazo de Hierro Tipo J Soporte p/ Poste de Desvio</t>
  </si>
  <si>
    <t>Brazo Tipo C Soporte p/ Retención</t>
  </si>
  <si>
    <t>Brazo Tipo L Auxiliar</t>
  </si>
  <si>
    <t>Soporte Auxiliar Tipo Angulo / Brazo J/C</t>
  </si>
  <si>
    <t>Mensula de Soporte p/ Brazo Antibalanceo Herraje de Fijación</t>
  </si>
  <si>
    <t>Ataduras Preformadas de Al. Antideslizante</t>
  </si>
  <si>
    <t>Atadura de Al. p/50 mm  33 KV. Preformada c/ Antideslizante</t>
  </si>
  <si>
    <t>7 DIAS</t>
  </si>
  <si>
    <t>Atadura de Al. p/70 mm 33 KV. Preformada c/ Antideslizante</t>
  </si>
  <si>
    <t>Atadura de Al. p/95 mm 33 KV. Preformada c/ Antideslizante</t>
  </si>
  <si>
    <t>Atadura de Al. p/120 mm 33 KV. Preformada c/ Antideslizante</t>
  </si>
  <si>
    <t>Atadura de Al. p/150 mm 33 KV. Preformada c/ Antideslizante</t>
  </si>
  <si>
    <t>Atadura de Al. p/185 mm 33 KV. Preformada c/ Antideslizante</t>
  </si>
  <si>
    <t>Atadura de Al. p/240 mm 33 KV. Preformada c/ Antideslizante</t>
  </si>
  <si>
    <t>Atadura de Al. p/300 mm 33 KV. Preformada c/ Antideslizante</t>
  </si>
  <si>
    <t>Atadura de Al. p/25 mm 13,2 KV. Preformada c/ Antideslizante</t>
  </si>
  <si>
    <t>Atadura de Al. p/35 mm 13,2 KV. Preformada c/ Antideslizante</t>
  </si>
  <si>
    <t>Atadura de Al. p/50 mm 13,2 KV. Preformada c/ Antideslizante</t>
  </si>
  <si>
    <t>Atadura de Al. p/70 mm 13,2 KV. Preformada c/ Antideslizante</t>
  </si>
  <si>
    <t xml:space="preserve">SI </t>
  </si>
  <si>
    <t>Atadura de Al. p/95 mm 13,2 KV. Preformada c/ Antideslizante</t>
  </si>
  <si>
    <t>Atadura de Al. p/120 mm 13,2 KV. Preformada c/ Antideslizante</t>
  </si>
  <si>
    <t>7856</t>
  </si>
  <si>
    <t>Atadura de Al. p/150 mm 13,2 KV. Preformada c/ Antideslizante</t>
  </si>
  <si>
    <t>7857</t>
  </si>
  <si>
    <t>Atadura de Al. p/185 mm 13,2 KV. Preformada c/ Antideslizante</t>
  </si>
  <si>
    <t>7858</t>
  </si>
  <si>
    <t>Atadura de Al. p/240 mm 13,2 KV. Preformada c/ Antideslizante</t>
  </si>
  <si>
    <t>7859</t>
  </si>
  <si>
    <t>Atadura de Al. p/300 mm 13,2 KV. Preformada c/ Antideslizante</t>
  </si>
  <si>
    <t>Ataduras p/ Espaciador Polimerico  33 KV</t>
  </si>
  <si>
    <t xml:space="preserve">Ataduras p/ Espaciador Polimerico 13,2 KV. </t>
  </si>
  <si>
    <t>Ataduras p/ Aislador Tipo Z</t>
  </si>
  <si>
    <t>Ataduras p/ Aislador Tipo V</t>
  </si>
  <si>
    <t>Atadura p/ Fiador Cable de Acero</t>
  </si>
  <si>
    <t>7888</t>
  </si>
  <si>
    <t>7890</t>
  </si>
  <si>
    <t>Semiabrazadera c/Lóbulo p/bulón MN 48</t>
  </si>
  <si>
    <t>0A050</t>
  </si>
  <si>
    <t>Semiabrazadera C/Lobulo para Bulon Mn 48 Q 1501 E.P.E.C R 50 Diam.100</t>
  </si>
  <si>
    <t>0A051</t>
  </si>
  <si>
    <t>Semiabrazadera C/Lobulo para Bulon Mn.48 Q1502 E.P.E.C R 63 Diam.126</t>
  </si>
  <si>
    <t>0A052</t>
  </si>
  <si>
    <t>Semiabrazadera C/Lobulo para Bulon Mn.48  Q 1503 E.P.E.C R  80 Diam.160</t>
  </si>
  <si>
    <t>0A053</t>
  </si>
  <si>
    <t>Semiabrazadera C/Lobulo para Bulon Mn.48 Q 1504 E.P.E.C R 100 Diam.200</t>
  </si>
  <si>
    <t>0A054</t>
  </si>
  <si>
    <t>Semiabrazadera C/Lobulo para Bulon Mn.48 Q 1505 E.P.E.C A  125 Diam.250</t>
  </si>
  <si>
    <t>0A055</t>
  </si>
  <si>
    <t>Semiabrazadera C/Lobulo para Bulon Mn.48 Q 1506 E.P.E.C R  160 Diam.320</t>
  </si>
  <si>
    <t>0A056</t>
  </si>
  <si>
    <t>Semiabrazadera C/Lobulo para Bulon Mn.48 Q 1507 E.P.E.C R 200 Diam.400</t>
  </si>
  <si>
    <t>Bulón para Semiabrazadera con lóbulo</t>
  </si>
  <si>
    <t>Bulon Mn. 48 C/Arandela Plana Grower Y Tuerca</t>
  </si>
  <si>
    <t>Semiabrazadera Q LISAS</t>
  </si>
  <si>
    <t>A001</t>
  </si>
  <si>
    <t>Semiabrazadera Q 151 E.P.E.C.  R 50 DIAM.100</t>
  </si>
  <si>
    <t>A002</t>
  </si>
  <si>
    <t>Semiabrazadera Q 152 E.P.E.C.  R 63 DIAM.126</t>
  </si>
  <si>
    <t>A003</t>
  </si>
  <si>
    <t>Semiabrazadera Q 153 E.P.E.C.  R 80 DIAM.160</t>
  </si>
  <si>
    <t>A004</t>
  </si>
  <si>
    <t>Semiabrazadera Q 154 E.P.E.C.  R 100 DIAM.200</t>
  </si>
  <si>
    <t>A005</t>
  </si>
  <si>
    <t>Semiabrazadera Q 155 E.P.E.C.  R 125 DIAM.250</t>
  </si>
  <si>
    <t>A006</t>
  </si>
  <si>
    <t>Semiabrazadera Q 156 E.P.E.C.  R 160 DIAM. 320</t>
  </si>
  <si>
    <t>A007</t>
  </si>
  <si>
    <t>Semiabrazadera Q 157 E.P.E.C.  R 200 DIAM. 400</t>
  </si>
  <si>
    <t xml:space="preserve">Bulón para Semiabrazadera </t>
  </si>
  <si>
    <t>Bulon Mn. 49 C/Arandela Plana Grower Y Tuerca</t>
  </si>
  <si>
    <t>Semiabrazadera para Caños  Q</t>
  </si>
  <si>
    <t>A100</t>
  </si>
  <si>
    <t>Semiabrazadera para Caños  Q 1521 E.P.E.C.  R 50</t>
  </si>
  <si>
    <t>A101</t>
  </si>
  <si>
    <t>Semiabrazadera para Caños  Q 1522 E.P.E.C.  R 63</t>
  </si>
  <si>
    <t>A102</t>
  </si>
  <si>
    <t>Semiabrazadera para Caños  Q 1523 E.P.E.C.  R 80</t>
  </si>
  <si>
    <t>A103</t>
  </si>
  <si>
    <t>Semiabrazadera para Caños  Q 1524 E.P.E.C.  R 100</t>
  </si>
  <si>
    <t>A104</t>
  </si>
  <si>
    <t>Semiabrazadera para Caños  Q 1525 E.P.E.C.  R 125</t>
  </si>
  <si>
    <t>A105</t>
  </si>
  <si>
    <t>Semiabrazadera para Caños  Q 1526 E.P.E.C.  R 160</t>
  </si>
  <si>
    <t>Grampa para puesta a tierra "G" A o B</t>
  </si>
  <si>
    <t>A150</t>
  </si>
  <si>
    <t>Grampa para puesta a tierra G 301 A   E.P.E.C.</t>
  </si>
  <si>
    <t>A151</t>
  </si>
  <si>
    <t>Grampa para puesta a tierra G 302 A   E.P.E.C.</t>
  </si>
  <si>
    <t>A170</t>
  </si>
  <si>
    <t>Grampa para puesta a tierra G 301 B   E.P.E.C.</t>
  </si>
  <si>
    <t>A171</t>
  </si>
  <si>
    <t>Grampa para puesta a tierra G 302 B   E.P.E.C.</t>
  </si>
  <si>
    <t>A180</t>
  </si>
  <si>
    <t>Grampa para puesta a tierra G 303       E.P.E.C.</t>
  </si>
  <si>
    <t>A181</t>
  </si>
  <si>
    <t>Grampa para puesta a tierra G 304       E.P.E.C.</t>
  </si>
  <si>
    <t>A182</t>
  </si>
  <si>
    <t>Grampa para puesta a tierra G 305       E.P.E.C.</t>
  </si>
  <si>
    <t>Abrazadera P.K.R.</t>
  </si>
  <si>
    <t>A200</t>
  </si>
  <si>
    <t>Abrazadera P.K.R. 30</t>
  </si>
  <si>
    <t>A201</t>
  </si>
  <si>
    <t>Abrazadera P.K.R. 31</t>
  </si>
  <si>
    <t>A202</t>
  </si>
  <si>
    <t>Abrazadera P.K.R. 32</t>
  </si>
  <si>
    <t xml:space="preserve">Arandela Plana </t>
  </si>
  <si>
    <t>A701</t>
  </si>
  <si>
    <t>Arandela Plana M.N. 31 E.P.E.C.</t>
  </si>
  <si>
    <t>A702</t>
  </si>
  <si>
    <t>Arandela Plana M.N. 32 E.P.E.C.</t>
  </si>
  <si>
    <t>Arandela de Presión (Grower)</t>
  </si>
  <si>
    <t>A752</t>
  </si>
  <si>
    <t>Arandela de Presión (Grower) M.N. 32 C E.P.E.C.</t>
  </si>
  <si>
    <t>Empalmes Rectos Línea Media Tensión Protegida Compacta 13,2 KV</t>
  </si>
  <si>
    <t>Empalme Recto Linea MT Protegida Compacta 13, KV 50 mm AL incluye Termocontraible c/adhesivo largo 240 y s/adhesivo largo 280</t>
  </si>
  <si>
    <t>Empalme Recto Linea MT Protegida Compacta 13,2 KV 70 mm AL incluye Termocontraible c/adhesivo largo 250 y s/adhesivo largo 300</t>
  </si>
  <si>
    <t>Empalme Recto Linea MT Protegida Compacta 13,2 KV 95 mm AL incluye Termocontraible c/adhesivo largo 260 y s/adhesivo largo 320</t>
  </si>
  <si>
    <t>Empalmes Rectos Línea Media Tensión Protegida Convencional 13,2 KV</t>
  </si>
  <si>
    <t>Empalme Recto Linea MT Protegida Convencional 13,2 KV 50 mm AL incluye Termocontraible c/adhesivo largo 360 y s/adhesivo largo 400</t>
  </si>
  <si>
    <t>Empalme Recto Linea MT Protegida Convencional 13,2 KV 70 mm AL incluye Termocontraible c/adhesivo largo 360 y s/adhesivo largo 400</t>
  </si>
  <si>
    <t>Empalme Recto Linea MT Protegida Convencional 13,2 KV 95 mm AL incluye Termocontraible c/adhesivo largo 420 y s/adhesivo largo 450</t>
  </si>
  <si>
    <t>Empalme Recto Linea MT Protegida Convencional 13,2 KV 120 mm AL incluye Termocontraible c/adhesivo largo 420 y s/adhesivo largo 450</t>
  </si>
  <si>
    <t>SECCION DEL CABLE</t>
  </si>
  <si>
    <t>METROS DE CABLE PROTEGIDO 35mm ECO COMPAC</t>
  </si>
  <si>
    <t>METROS DE CABLE PROTEGIDO 70mm ECO COMPAC</t>
  </si>
  <si>
    <t>METROS DE CABLE PROTEGIDO 95mm ECO COMPAC</t>
  </si>
  <si>
    <t>RESISTENCIA Y ALTURA S/PROYECTO</t>
  </si>
  <si>
    <t>OMN12 APDR 36/70 AISLADO RETENSION ORGANICO 33KV</t>
  </si>
  <si>
    <t>235173</t>
  </si>
  <si>
    <t>CANTIDAD DE ESPACIADORES POR VANO</t>
  </si>
  <si>
    <t>ESTO ES IGUAL A LA CANTIDAD DE VANOS POR ESPACIADORES X VANOS</t>
  </si>
  <si>
    <t>MN48 BULON 12X38 P/SUSPENSIONES</t>
  </si>
  <si>
    <t>ABRAZADERA DE 200 C/1 ESCOTE /SUSPENSIONES</t>
  </si>
  <si>
    <t>GUARDACABO CON HORQUILLA</t>
  </si>
  <si>
    <t>RR TOR MN 101  RETENCION S/ AISLADOR Y ANCLAJE</t>
  </si>
  <si>
    <t>RR TOR MN 100  RETENCION S/ AISLADOR Y ANCLAJE</t>
  </si>
  <si>
    <t>MN101 CABLE ACERO GALV, 7 H</t>
  </si>
  <si>
    <t>ALAMBRE FIADOR</t>
  </si>
  <si>
    <t>MN 100</t>
  </si>
  <si>
    <t>MN 101</t>
  </si>
  <si>
    <t xml:space="preserve">SE TOMA LONG. DE LINEA DIVIDIDO LOS MTS. DE  VANOS </t>
  </si>
  <si>
    <t>MN100 CABLE ACERO GALV, 7 H 6MM</t>
  </si>
  <si>
    <t>MN101 CABLE ACERO GALV, 7 H 7,54MM</t>
  </si>
  <si>
    <t>MN191 GRAMPA RET.100X400 3 BUYL</t>
  </si>
  <si>
    <t>MN190 GRAMPA RET.100X400 3 BUYL</t>
  </si>
  <si>
    <t>MN380 OJAL SIN ROSCA 84X51</t>
  </si>
  <si>
    <t>235170</t>
  </si>
  <si>
    <t>MKUP+F</t>
  </si>
  <si>
    <t xml:space="preserve">Conector 1995/10 E. CU. Dos Bulones p/ Lineas Protegidas C/TF 2 KG. SECC. 25-120/ 25-120 MM2 Y 25/120 mm2 / ESTRIBO 95 mm2 </t>
  </si>
  <si>
    <t>SUBTOTAL SIN IVA</t>
  </si>
  <si>
    <t>SUBT. S/IVA</t>
  </si>
  <si>
    <r>
      <t>Conector 1995/8 E. CU. Un Bulón c/ T. F. 2 KG. secc. 25-150/4-35 mm</t>
    </r>
    <r>
      <rPr>
        <vertAlign val="superscript"/>
        <sz val="8"/>
        <rFont val="Arial"/>
        <family val="2"/>
      </rPr>
      <t xml:space="preserve">2 </t>
    </r>
    <r>
      <rPr>
        <vertAlign val="superscript"/>
        <sz val="9"/>
        <rFont val="Arial"/>
        <family val="2"/>
      </rPr>
      <t xml:space="preserve">  </t>
    </r>
    <r>
      <rPr>
        <sz val="9"/>
        <rFont val="Arial"/>
        <family val="2"/>
      </rPr>
      <t>P/ Estribo Abierto 95 mm</t>
    </r>
    <r>
      <rPr>
        <vertAlign val="superscript"/>
        <sz val="9"/>
        <rFont val="Arial"/>
        <family val="2"/>
      </rPr>
      <t>2</t>
    </r>
  </si>
  <si>
    <r>
      <t>Conector 1995/10 E. CU. Dos Bulones p/ Lineas Protegidas C/TF 2 KG. SECC. 25-120/ 25-120 MM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Y 25/120 mm2 / ESTRIBO 95 mm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</t>
    </r>
  </si>
  <si>
    <r>
      <rPr>
        <b/>
        <sz val="9"/>
        <rFont val="Arial"/>
        <family val="2"/>
      </rPr>
      <t xml:space="preserve">* </t>
    </r>
    <r>
      <rPr>
        <sz val="9"/>
        <rFont val="Arial"/>
        <family val="2"/>
      </rPr>
      <t>Conjunto de Brazo C con Soporte Auxiliar (7701 + 7720) INCLUYE buloneria</t>
    </r>
  </si>
  <si>
    <r>
      <t>Atadura p/Espaciador Cable 25 mm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33 KV.</t>
    </r>
  </si>
  <si>
    <r>
      <t>Atadura p/Espaciador Cable 35 mm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33 KV.</t>
    </r>
  </si>
  <si>
    <r>
      <t>Atadura p/Espaciador Cable 50 mm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33 KV.</t>
    </r>
  </si>
  <si>
    <r>
      <t>Atadura p/Espaciador Cable 70 mm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33 KV.</t>
    </r>
  </si>
  <si>
    <r>
      <t>Atadura p/Espaciador Cable 95 mm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33 KV.</t>
    </r>
  </si>
  <si>
    <r>
      <t>Atadura p/Espaciador Cable 120 mm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33 KV.</t>
    </r>
  </si>
  <si>
    <r>
      <t>Atadura p/Espaciador Cable 150 mm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33 KV.</t>
    </r>
  </si>
  <si>
    <r>
      <t>Atadura p/Espaciador Cable 185 mm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33 KV.</t>
    </r>
  </si>
  <si>
    <r>
      <t>Atadura p/Espaciador Cable 240 mm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33 KV.</t>
    </r>
  </si>
  <si>
    <r>
      <t>Atadura p/Espaciador Cable 300 mm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33 KV.</t>
    </r>
  </si>
  <si>
    <r>
      <t>Atadura p/Espaciador Cable Protegido 25 mm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13,2 KV.</t>
    </r>
  </si>
  <si>
    <r>
      <t>Atadura p/Espaciador Cable Protegido 35 mm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13,2 KV.</t>
    </r>
  </si>
  <si>
    <r>
      <t>Atadura p/Espaciador Cable Protegido 50 mm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13,2 KV.</t>
    </r>
  </si>
  <si>
    <r>
      <t>Atadura p/Espaciador Cable Protegido 70 mm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13,2 KV.</t>
    </r>
  </si>
  <si>
    <r>
      <t>Atadura p/Espaciador CableProtegido 95 mm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13,2 KV.</t>
    </r>
  </si>
  <si>
    <r>
      <t>Atadura p/Espaciador Cable 120 mm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13,2 KV.</t>
    </r>
  </si>
  <si>
    <r>
      <t>Atadura p/Espaciador Cable 150 mm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13,2 KV.</t>
    </r>
  </si>
  <si>
    <r>
      <t>Atadura p/Espaciador Cable 185 mm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13,2 KV.</t>
    </r>
  </si>
  <si>
    <r>
      <t>Atadura p/Espaciador Cable 240 mm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13,2 KV.</t>
    </r>
  </si>
  <si>
    <r>
      <t>Atadura p/Espaciador Cable 300 mm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13,2 KV.</t>
    </r>
  </si>
  <si>
    <r>
      <t>Atadura de Paso Tipo Z p/ Aislador Diam. 55 cable 25 mm</t>
    </r>
    <r>
      <rPr>
        <vertAlign val="superscript"/>
        <sz val="9"/>
        <rFont val="Arial"/>
        <family val="2"/>
      </rPr>
      <t>2</t>
    </r>
  </si>
  <si>
    <r>
      <t>Atadura de Paso Tipo Z p/ Aislador Diam. 55 cable 35 mm</t>
    </r>
    <r>
      <rPr>
        <vertAlign val="superscript"/>
        <sz val="9"/>
        <rFont val="Arial"/>
        <family val="2"/>
      </rPr>
      <t>2</t>
    </r>
  </si>
  <si>
    <r>
      <t>Atadura de Paso Tipo Z p/ Aislador Diam. 55 cable 50 mm</t>
    </r>
    <r>
      <rPr>
        <vertAlign val="superscript"/>
        <sz val="9"/>
        <rFont val="Arial"/>
        <family val="2"/>
      </rPr>
      <t>2</t>
    </r>
  </si>
  <si>
    <r>
      <t>Atadura de Paso Tipo Z p/ Aislador Diam. 55 cable 70 mm</t>
    </r>
    <r>
      <rPr>
        <vertAlign val="superscript"/>
        <sz val="9"/>
        <rFont val="Arial"/>
        <family val="2"/>
      </rPr>
      <t>2</t>
    </r>
  </si>
  <si>
    <r>
      <t>Atadura de Paso Tipo Z p/ Aislador Diam. 55 cable 95 mm</t>
    </r>
    <r>
      <rPr>
        <vertAlign val="superscript"/>
        <sz val="9"/>
        <rFont val="Arial"/>
        <family val="2"/>
      </rPr>
      <t>2</t>
    </r>
  </si>
  <si>
    <r>
      <t>Atadura de Paso Tipo Z p/ Aislador Diam. 55 cable 120 mm</t>
    </r>
    <r>
      <rPr>
        <vertAlign val="superscript"/>
        <sz val="9"/>
        <rFont val="Arial"/>
        <family val="2"/>
      </rPr>
      <t>2</t>
    </r>
  </si>
  <si>
    <r>
      <t>Atadura de Paso Tipo Z p/ Aislador Diam. 55 cable 150 mm</t>
    </r>
    <r>
      <rPr>
        <vertAlign val="superscript"/>
        <sz val="9"/>
        <rFont val="Arial"/>
        <family val="2"/>
      </rPr>
      <t>2</t>
    </r>
  </si>
  <si>
    <r>
      <t>Atadura de Paso Tipo Z p/ Aislador Diam. 55 cable 185 mm</t>
    </r>
    <r>
      <rPr>
        <vertAlign val="superscript"/>
        <sz val="9"/>
        <rFont val="Arial"/>
        <family val="2"/>
      </rPr>
      <t>2</t>
    </r>
  </si>
  <si>
    <r>
      <t>Atadura de Paso Tipo Z p/ Aislador Diam. 55 cable 240 mm</t>
    </r>
    <r>
      <rPr>
        <vertAlign val="superscript"/>
        <sz val="9"/>
        <rFont val="Arial"/>
        <family val="2"/>
      </rPr>
      <t>2</t>
    </r>
  </si>
  <si>
    <r>
      <t>Atadura de Paso Tipo Z p/ Aislador Diam. 55 cable 300 mm</t>
    </r>
    <r>
      <rPr>
        <vertAlign val="superscript"/>
        <sz val="9"/>
        <rFont val="Arial"/>
        <family val="2"/>
      </rPr>
      <t>2</t>
    </r>
  </si>
  <si>
    <r>
      <t>Atadura de Paso Tipo Z p/ Aislador Diam. 75 cable 25 mm</t>
    </r>
    <r>
      <rPr>
        <vertAlign val="superscript"/>
        <sz val="9"/>
        <rFont val="Arial"/>
        <family val="2"/>
      </rPr>
      <t>2</t>
    </r>
  </si>
  <si>
    <r>
      <t>Atadura de Paso Tipo Z p/ Aislador Diam. 75 cable 35 mm</t>
    </r>
    <r>
      <rPr>
        <vertAlign val="superscript"/>
        <sz val="9"/>
        <rFont val="Arial"/>
        <family val="2"/>
      </rPr>
      <t>2</t>
    </r>
  </si>
  <si>
    <r>
      <t>Atadura de Paso Tipo Z p/ Aislador Diam. 75 cable 50 mm</t>
    </r>
    <r>
      <rPr>
        <vertAlign val="superscript"/>
        <sz val="9"/>
        <rFont val="Arial"/>
        <family val="2"/>
      </rPr>
      <t>2</t>
    </r>
  </si>
  <si>
    <r>
      <t>Atadura de Paso Tipo Z p/ Aislador Diam. 75 cable 70 mm</t>
    </r>
    <r>
      <rPr>
        <vertAlign val="superscript"/>
        <sz val="9"/>
        <rFont val="Arial"/>
        <family val="2"/>
      </rPr>
      <t>2</t>
    </r>
  </si>
  <si>
    <r>
      <t>Atadura de Paso Tipo Z p/ Aislador Diam. 75 cable 95 mm</t>
    </r>
    <r>
      <rPr>
        <vertAlign val="superscript"/>
        <sz val="9"/>
        <rFont val="Arial"/>
        <family val="2"/>
      </rPr>
      <t>2</t>
    </r>
  </si>
  <si>
    <r>
      <t>Atadura de Paso Tipo Z p/ Aislador Diam. 75 cable 120 mm</t>
    </r>
    <r>
      <rPr>
        <vertAlign val="superscript"/>
        <sz val="9"/>
        <rFont val="Arial"/>
        <family val="2"/>
      </rPr>
      <t>2</t>
    </r>
  </si>
  <si>
    <r>
      <t>Atadura de Paso Tipo Z p/ Aislador Diam. 75 cable 150 mm</t>
    </r>
    <r>
      <rPr>
        <vertAlign val="superscript"/>
        <sz val="9"/>
        <rFont val="Arial"/>
        <family val="2"/>
      </rPr>
      <t>2</t>
    </r>
  </si>
  <si>
    <r>
      <t>Atadura de Paso Tipo Z p/ Aislador Diam. 75 cable 185 mm</t>
    </r>
    <r>
      <rPr>
        <vertAlign val="superscript"/>
        <sz val="9"/>
        <rFont val="Arial"/>
        <family val="2"/>
      </rPr>
      <t>2</t>
    </r>
  </si>
  <si>
    <r>
      <t>Atadura de Paso Tipo Z p/ Aislador Diam. 75 cable 240 mm</t>
    </r>
    <r>
      <rPr>
        <vertAlign val="superscript"/>
        <sz val="9"/>
        <rFont val="Arial"/>
        <family val="2"/>
      </rPr>
      <t>2</t>
    </r>
  </si>
  <si>
    <r>
      <t>Atadura de Paso Tipo Z p/ Aislador Diam. 75 cable 300 mm</t>
    </r>
    <r>
      <rPr>
        <vertAlign val="superscript"/>
        <sz val="9"/>
        <rFont val="Arial"/>
        <family val="2"/>
      </rPr>
      <t>2</t>
    </r>
  </si>
  <si>
    <r>
      <t>Atadura Lateral Tipo V p/Aislador Diam. 55 cable 25 mm</t>
    </r>
    <r>
      <rPr>
        <vertAlign val="superscript"/>
        <sz val="9"/>
        <rFont val="Arial"/>
        <family val="2"/>
      </rPr>
      <t>2</t>
    </r>
  </si>
  <si>
    <r>
      <t>Atadura Lateral Tipo V p/Aislador Diam. 55 cable 35 mm</t>
    </r>
    <r>
      <rPr>
        <vertAlign val="superscript"/>
        <sz val="9"/>
        <rFont val="Arial"/>
        <family val="2"/>
      </rPr>
      <t>2</t>
    </r>
  </si>
  <si>
    <r>
      <t>Atadura Lateral Tipo V p/Aislador Diam. 55 cable 50 mm</t>
    </r>
    <r>
      <rPr>
        <vertAlign val="superscript"/>
        <sz val="9"/>
        <rFont val="Arial"/>
        <family val="2"/>
      </rPr>
      <t>2</t>
    </r>
  </si>
  <si>
    <r>
      <t>Atadura Lateral Tipo V p/Aislador Diam. 55 cable 70 mm</t>
    </r>
    <r>
      <rPr>
        <vertAlign val="superscript"/>
        <sz val="9"/>
        <rFont val="Arial"/>
        <family val="2"/>
      </rPr>
      <t>2</t>
    </r>
  </si>
  <si>
    <r>
      <t>Atadura Lateral Tipo V p/Aislador Diam. 55 cable 95 mm</t>
    </r>
    <r>
      <rPr>
        <vertAlign val="superscript"/>
        <sz val="9"/>
        <rFont val="Arial"/>
        <family val="2"/>
      </rPr>
      <t>2</t>
    </r>
  </si>
  <si>
    <r>
      <t>Atadura Lateral Tipo V p/Aislador Diam. 55 cable 120 mm</t>
    </r>
    <r>
      <rPr>
        <vertAlign val="superscript"/>
        <sz val="9"/>
        <rFont val="Arial"/>
        <family val="2"/>
      </rPr>
      <t>2</t>
    </r>
  </si>
  <si>
    <r>
      <t>Atadura Lateral Tipo V p/Aislador Diam. 55 cable 150 mm</t>
    </r>
    <r>
      <rPr>
        <vertAlign val="superscript"/>
        <sz val="9"/>
        <rFont val="Arial"/>
        <family val="2"/>
      </rPr>
      <t>2</t>
    </r>
  </si>
  <si>
    <r>
      <t>Atadura Lateral Tipo V p/Aislador Diam. 55 cable 185 mm</t>
    </r>
    <r>
      <rPr>
        <vertAlign val="superscript"/>
        <sz val="9"/>
        <rFont val="Arial"/>
        <family val="2"/>
      </rPr>
      <t>2</t>
    </r>
  </si>
  <si>
    <r>
      <t>Atadura Lateral Tipo V p/Aislador Diam. 55 cable 240 mm</t>
    </r>
    <r>
      <rPr>
        <vertAlign val="superscript"/>
        <sz val="9"/>
        <rFont val="Arial"/>
        <family val="2"/>
      </rPr>
      <t>2</t>
    </r>
  </si>
  <si>
    <r>
      <t>Atadura Lateral Tipo V p/Aislador Diam. 55 cable 300 mm</t>
    </r>
    <r>
      <rPr>
        <vertAlign val="superscript"/>
        <sz val="9"/>
        <rFont val="Arial"/>
        <family val="2"/>
      </rPr>
      <t>2</t>
    </r>
  </si>
  <si>
    <r>
      <t>Atadura Lateral Tipo V p/Aislador Diam. 75 cable 25 mm</t>
    </r>
    <r>
      <rPr>
        <vertAlign val="superscript"/>
        <sz val="9"/>
        <rFont val="Arial"/>
        <family val="2"/>
      </rPr>
      <t>2</t>
    </r>
  </si>
  <si>
    <r>
      <t>Atadura Lateral Tipo V p/Aislador Diam. 75 cable 35 mm</t>
    </r>
    <r>
      <rPr>
        <vertAlign val="superscript"/>
        <sz val="9"/>
        <rFont val="Arial"/>
        <family val="2"/>
      </rPr>
      <t>2</t>
    </r>
  </si>
  <si>
    <r>
      <t>Atadura Lateral Tipo V p/Aislador Diam. 75 cable 50 mm</t>
    </r>
    <r>
      <rPr>
        <vertAlign val="superscript"/>
        <sz val="9"/>
        <rFont val="Arial"/>
        <family val="2"/>
      </rPr>
      <t>2</t>
    </r>
  </si>
  <si>
    <r>
      <t>Atadura Lateral Tipo V p/Aislador Diam. 75 cable 70 mm</t>
    </r>
    <r>
      <rPr>
        <vertAlign val="superscript"/>
        <sz val="9"/>
        <rFont val="Arial"/>
        <family val="2"/>
      </rPr>
      <t>2</t>
    </r>
  </si>
  <si>
    <r>
      <t>Atadura Lateral Tipo V p/Aislador Diam. 75 cable 95 mm</t>
    </r>
    <r>
      <rPr>
        <vertAlign val="superscript"/>
        <sz val="9"/>
        <rFont val="Arial"/>
        <family val="2"/>
      </rPr>
      <t>2</t>
    </r>
  </si>
  <si>
    <r>
      <t>Atadura Lateral Tipo V p/Aislador Diam. 75 cable 120 mm</t>
    </r>
    <r>
      <rPr>
        <vertAlign val="superscript"/>
        <sz val="9"/>
        <rFont val="Arial"/>
        <family val="2"/>
      </rPr>
      <t>2</t>
    </r>
  </si>
  <si>
    <r>
      <t>Atadura Lateral Tipo V p/Aislador Diam. 75 cable 150 mm</t>
    </r>
    <r>
      <rPr>
        <vertAlign val="superscript"/>
        <sz val="9"/>
        <rFont val="Arial"/>
        <family val="2"/>
      </rPr>
      <t>2</t>
    </r>
  </si>
  <si>
    <r>
      <t>Atadura Lateral Tipo V p/Aislador Diam. 75 cable 185 mm</t>
    </r>
    <r>
      <rPr>
        <vertAlign val="superscript"/>
        <sz val="9"/>
        <rFont val="Arial"/>
        <family val="2"/>
      </rPr>
      <t>2</t>
    </r>
  </si>
  <si>
    <r>
      <t>Atadura Lateral Tipo V p/Aislador Diam. 75 cable 240 mm</t>
    </r>
    <r>
      <rPr>
        <vertAlign val="superscript"/>
        <sz val="9"/>
        <rFont val="Arial"/>
        <family val="2"/>
      </rPr>
      <t>2</t>
    </r>
  </si>
  <si>
    <r>
      <t>Atadura Lateral Tipo V p/Aislador Diam. 75 cable 300 mm</t>
    </r>
    <r>
      <rPr>
        <vertAlign val="superscript"/>
        <sz val="9"/>
        <rFont val="Arial"/>
        <family val="2"/>
      </rPr>
      <t>2</t>
    </r>
  </si>
  <si>
    <r>
      <t xml:space="preserve">Atadura p/ Fiador cable de Acero 6 mm </t>
    </r>
    <r>
      <rPr>
        <b/>
        <u/>
        <sz val="9"/>
        <rFont val="Arial"/>
        <family val="2"/>
      </rPr>
      <t>MN 100</t>
    </r>
    <r>
      <rPr>
        <sz val="9"/>
        <rFont val="Arial"/>
        <family val="2"/>
      </rPr>
      <t xml:space="preserve">  </t>
    </r>
  </si>
  <si>
    <r>
      <t xml:space="preserve">Atadura p/ Fiador cable de Acero D 7,5 mm </t>
    </r>
    <r>
      <rPr>
        <b/>
        <u/>
        <sz val="9"/>
        <rFont val="Arial"/>
        <family val="2"/>
      </rPr>
      <t>MN 100 A</t>
    </r>
    <r>
      <rPr>
        <sz val="9"/>
        <rFont val="Arial"/>
        <family val="2"/>
      </rPr>
      <t xml:space="preserve">  </t>
    </r>
  </si>
  <si>
    <r>
      <t xml:space="preserve">Atadura p/ Fiador cable de Acero D 4,8 mm </t>
    </r>
    <r>
      <rPr>
        <b/>
        <u/>
        <sz val="9"/>
        <rFont val="Arial"/>
        <family val="2"/>
      </rPr>
      <t>MN 100B</t>
    </r>
  </si>
  <si>
    <r>
      <t xml:space="preserve">Atadura p/ Fiador cable de Acero D 9 mm </t>
    </r>
    <r>
      <rPr>
        <b/>
        <u/>
        <sz val="9"/>
        <rFont val="Arial"/>
        <family val="2"/>
      </rPr>
      <t>MN 101</t>
    </r>
  </si>
  <si>
    <r>
      <t>Atadura p/ Fiador cable de Acero D 10,5 mm</t>
    </r>
    <r>
      <rPr>
        <b/>
        <u/>
        <sz val="9"/>
        <rFont val="Arial"/>
        <family val="2"/>
      </rPr>
      <t xml:space="preserve"> MN 101 A</t>
    </r>
  </si>
  <si>
    <r>
      <t>Atadura p/ Fiador cable de Acero D 9 mm</t>
    </r>
    <r>
      <rPr>
        <vertAlign val="superscript"/>
        <sz val="9"/>
        <rFont val="Arial"/>
        <family val="2"/>
      </rPr>
      <t xml:space="preserve"> </t>
    </r>
    <r>
      <rPr>
        <sz val="9"/>
        <rFont val="Arial"/>
        <family val="2"/>
      </rPr>
      <t xml:space="preserve"> </t>
    </r>
    <r>
      <rPr>
        <b/>
        <u/>
        <sz val="9"/>
        <rFont val="Arial"/>
        <family val="2"/>
      </rPr>
      <t>MN 101 B</t>
    </r>
  </si>
  <si>
    <t>P.UNIT,</t>
  </si>
  <si>
    <t>VANO DE 50 MTS (55MTS MAXIMO)</t>
  </si>
  <si>
    <t>ESTIMADOR PARA CALCULO DE LINEA COMPACTA 13,2Kv/33Kv</t>
  </si>
  <si>
    <t xml:space="preserve">Po 11,50 R3100 </t>
  </si>
  <si>
    <t>Po 11,50 R950</t>
  </si>
  <si>
    <t>POSTES TERMINAL 11,50/3100 (SI VAN A IR A FUTURO 2 LINEAS, ROTURA 3500</t>
  </si>
  <si>
    <t>SIN GARRA</t>
  </si>
  <si>
    <t>CON GARRA</t>
  </si>
  <si>
    <t>TIPO DE ESPACIADOR POLIM ROMBOIDAL</t>
  </si>
  <si>
    <t>1 UNIDAD POR CADA BRAZO ANTIBALANCEO</t>
  </si>
  <si>
    <t>POSTE DE DESVIO 6 A 45º</t>
  </si>
  <si>
    <t>1 SOPORTE "J" (7700) POR DESVIO</t>
  </si>
  <si>
    <t xml:space="preserve"> MN 411 Recto P/13,2 KV CAB, Plastico Largo 80 MM</t>
  </si>
  <si>
    <t xml:space="preserve">MN 414 Recto P/33 KV CAB.Plastico Largo 80mm </t>
  </si>
  <si>
    <t>3 POR CADA DESVIO +3 POR CADA RETENC DOB</t>
  </si>
  <si>
    <t>3 POR CADA DESVIO +3 POR RETENC DOBLE</t>
  </si>
  <si>
    <t>4 POR CADA DESVIO +3 POR RETENC DOBLE</t>
  </si>
  <si>
    <t>ABRAZADERA DE Ø 350 C/ 2 ESCOTE P/RETENCIONES</t>
  </si>
  <si>
    <t>POSTE DE RETENCION DOBLE</t>
  </si>
  <si>
    <t>1 UNID POR C/RETENCION-2 UNID P/DESVIO Y RET.DOB</t>
  </si>
  <si>
    <t>IGUAL A LA CANTIDAD DE AISL RETENCION OMN11</t>
  </si>
  <si>
    <t>1 UNID POR CADA MN 380</t>
  </si>
  <si>
    <t>INICIO Y FINAL X 3-RET DOBLE X 1-DESVIO X2</t>
  </si>
  <si>
    <t>RETENC. DOBLE X 4- DESVIO X 1</t>
  </si>
  <si>
    <t>1 BULON POR CADA ESCOTE DE ABRAZ</t>
  </si>
  <si>
    <t>1 SOP. (7721) CTO P/RETENC. Y 2 SOP CTO X RET DOBLE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</si>
</sst>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\ * #,##0.00_-;\-&quot;$&quot;\ * #,##0.00_-;_-&quot;$&quot;\ * &quot;-&quot;??_-;_-@_-"/>
    <numFmt numFmtId="164" formatCode="0.0\ \K\V"/>
    <numFmt numFmtId="165" formatCode="0\ &quot;m&quot;"/>
    <numFmt numFmtId="166" formatCode="0\ &quot;mm2&quot;"/>
    <numFmt numFmtId="167" formatCode="0\ &quot;PARA VANO&quot;"/>
    <numFmt numFmtId="168" formatCode="0.0"/>
    <numFmt numFmtId="169" formatCode="[$USD]\ #,##0.00"/>
    <numFmt numFmtId="170" formatCode="[$USD]\ #,##0.000"/>
  </numFmts>
  <fonts count="3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vertAlign val="superscript"/>
      <sz val="9"/>
      <color indexed="8"/>
      <name val="Arial"/>
      <family val="2"/>
    </font>
    <font>
      <sz val="11"/>
      <color theme="0" tint="-0.1499984740745262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Verdana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b/>
      <sz val="9"/>
      <name val="Calibri"/>
      <family val="2"/>
    </font>
    <font>
      <sz val="12"/>
      <name val="Times New Roman"/>
      <family val="1"/>
    </font>
    <font>
      <b/>
      <u/>
      <sz val="9"/>
      <name val="Arial"/>
      <family val="2"/>
    </font>
    <font>
      <b/>
      <sz val="10"/>
      <color theme="0" tint="-0.1499984740745262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9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11"/>
      <color theme="9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bgColor theme="2"/>
      </patternFill>
    </fill>
    <fill>
      <patternFill patternType="solid">
        <fgColor rgb="FF19573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 style="thin">
        <color theme="0" tint="-0.34998626667073579"/>
      </right>
      <top style="thin">
        <color theme="0" tint="-0.34998626667073579"/>
      </top>
      <bottom style="medium">
        <color theme="0" tint="-0.149998474074526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14999847407452621"/>
      </bottom>
      <diagonal/>
    </border>
    <border>
      <left/>
      <right/>
      <top style="thin">
        <color theme="0" tint="-0.34998626667073579"/>
      </top>
      <bottom style="medium">
        <color theme="0" tint="-0.1499984740745262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32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 applyProtection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Protection="1"/>
    <xf numFmtId="0" fontId="0" fillId="0" borderId="0" xfId="0" applyFill="1" applyProtection="1"/>
    <xf numFmtId="0" fontId="0" fillId="0" borderId="0" xfId="0" applyFill="1" applyBorder="1" applyProtection="1"/>
    <xf numFmtId="0" fontId="0" fillId="0" borderId="0" xfId="0" applyBorder="1" applyProtection="1"/>
    <xf numFmtId="0" fontId="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 wrapText="1"/>
    </xf>
    <xf numFmtId="0" fontId="11" fillId="0" borderId="0" xfId="0" applyFont="1"/>
    <xf numFmtId="169" fontId="14" fillId="0" borderId="0" xfId="0" applyNumberFormat="1" applyFont="1"/>
    <xf numFmtId="169" fontId="15" fillId="0" borderId="0" xfId="0" applyNumberFormat="1" applyFont="1"/>
    <xf numFmtId="0" fontId="0" fillId="0" borderId="0" xfId="0" applyBorder="1" applyAlignment="1">
      <alignment vertical="center" wrapText="1"/>
    </xf>
    <xf numFmtId="0" fontId="0" fillId="0" borderId="13" xfId="0" applyBorder="1"/>
    <xf numFmtId="169" fontId="1" fillId="3" borderId="1" xfId="0" applyNumberFormat="1" applyFont="1" applyFill="1" applyBorder="1" applyAlignment="1">
      <alignment horizontal="center" vertical="center"/>
    </xf>
    <xf numFmtId="169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69" fontId="17" fillId="0" borderId="0" xfId="0" applyNumberFormat="1" applyFont="1"/>
    <xf numFmtId="0" fontId="17" fillId="0" borderId="0" xfId="0" applyFont="1"/>
    <xf numFmtId="0" fontId="10" fillId="0" borderId="0" xfId="0" applyFont="1" applyFill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Protection="1">
      <protection locked="0"/>
    </xf>
    <xf numFmtId="164" fontId="17" fillId="0" borderId="0" xfId="0" applyNumberFormat="1" applyFont="1" applyBorder="1" applyProtection="1">
      <protection locked="0"/>
    </xf>
    <xf numFmtId="166" fontId="10" fillId="0" borderId="0" xfId="0" applyNumberFormat="1" applyFont="1" applyBorder="1" applyProtection="1">
      <protection locked="0"/>
    </xf>
    <xf numFmtId="0" fontId="10" fillId="0" borderId="0" xfId="0" applyFont="1" applyBorder="1" applyProtection="1">
      <protection locked="0"/>
    </xf>
    <xf numFmtId="1" fontId="10" fillId="0" borderId="0" xfId="0" applyNumberFormat="1" applyFont="1" applyBorder="1" applyAlignment="1" applyProtection="1">
      <alignment horizontal="center"/>
      <protection locked="0"/>
    </xf>
    <xf numFmtId="168" fontId="10" fillId="0" borderId="0" xfId="0" applyNumberFormat="1" applyFont="1" applyBorder="1" applyAlignment="1" applyProtection="1">
      <alignment horizontal="center"/>
      <protection locked="0"/>
    </xf>
    <xf numFmtId="1" fontId="17" fillId="0" borderId="0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1" fillId="0" borderId="0" xfId="0" applyFont="1" applyProtection="1"/>
    <xf numFmtId="169" fontId="11" fillId="0" borderId="0" xfId="0" applyNumberFormat="1" applyFont="1" applyProtection="1"/>
    <xf numFmtId="0" fontId="11" fillId="0" borderId="0" xfId="0" applyFont="1" applyAlignment="1" applyProtection="1">
      <alignment vertical="center"/>
    </xf>
    <xf numFmtId="0" fontId="16" fillId="7" borderId="5" xfId="0" applyFont="1" applyFill="1" applyBorder="1" applyAlignment="1" applyProtection="1">
      <alignment horizontal="left" vertical="center"/>
    </xf>
    <xf numFmtId="0" fontId="16" fillId="7" borderId="5" xfId="0" applyFont="1" applyFill="1" applyBorder="1" applyAlignment="1" applyProtection="1">
      <alignment horizontal="center" vertical="center"/>
    </xf>
    <xf numFmtId="169" fontId="11" fillId="7" borderId="5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169" fontId="11" fillId="0" borderId="0" xfId="0" applyNumberFormat="1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49" fontId="8" fillId="0" borderId="7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horizontal="center" vertical="center" wrapText="1"/>
    </xf>
    <xf numFmtId="169" fontId="8" fillId="0" borderId="7" xfId="0" applyNumberFormat="1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wrapText="1"/>
    </xf>
    <xf numFmtId="49" fontId="11" fillId="0" borderId="0" xfId="0" applyNumberFormat="1" applyFont="1" applyProtection="1"/>
    <xf numFmtId="49" fontId="8" fillId="0" borderId="8" xfId="0" applyNumberFormat="1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horizontal="center" vertical="center" wrapText="1"/>
    </xf>
    <xf numFmtId="169" fontId="8" fillId="0" borderId="8" xfId="0" applyNumberFormat="1" applyFont="1" applyBorder="1" applyAlignment="1" applyProtection="1">
      <alignment horizontal="center" vertical="center" wrapText="1"/>
    </xf>
    <xf numFmtId="0" fontId="22" fillId="0" borderId="8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vertical="center" wrapText="1"/>
    </xf>
    <xf numFmtId="49" fontId="8" fillId="0" borderId="9" xfId="0" applyNumberFormat="1" applyFont="1" applyBorder="1" applyAlignment="1" applyProtection="1">
      <alignment horizontal="center" vertical="center" wrapText="1"/>
    </xf>
    <xf numFmtId="0" fontId="22" fillId="0" borderId="9" xfId="0" applyFont="1" applyBorder="1" applyAlignment="1" applyProtection="1">
      <alignment horizontal="center" vertical="center" wrapText="1"/>
    </xf>
    <xf numFmtId="49" fontId="23" fillId="0" borderId="8" xfId="0" applyNumberFormat="1" applyFont="1" applyBorder="1" applyAlignment="1" applyProtection="1">
      <alignment horizontal="center" vertical="center" wrapText="1"/>
    </xf>
    <xf numFmtId="0" fontId="23" fillId="0" borderId="8" xfId="0" applyFont="1" applyBorder="1" applyAlignment="1" applyProtection="1">
      <alignment vertical="center" wrapText="1"/>
    </xf>
    <xf numFmtId="0" fontId="23" fillId="0" borderId="8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49" fontId="8" fillId="0" borderId="10" xfId="0" applyNumberFormat="1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horizontal="center" vertical="center" wrapText="1"/>
    </xf>
    <xf numFmtId="169" fontId="8" fillId="0" borderId="10" xfId="0" applyNumberFormat="1" applyFont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169" fontId="8" fillId="0" borderId="7" xfId="0" applyNumberFormat="1" applyFont="1" applyFill="1" applyBorder="1" applyAlignment="1" applyProtection="1">
      <alignment horizontal="center" vertical="center" wrapText="1"/>
    </xf>
    <xf numFmtId="49" fontId="8" fillId="6" borderId="9" xfId="0" applyNumberFormat="1" applyFont="1" applyFill="1" applyBorder="1" applyAlignment="1" applyProtection="1">
      <alignment horizontal="center" vertical="center" wrapText="1"/>
    </xf>
    <xf numFmtId="0" fontId="8" fillId="6" borderId="9" xfId="0" applyFont="1" applyFill="1" applyBorder="1" applyAlignment="1" applyProtection="1">
      <alignment vertical="center" wrapText="1"/>
    </xf>
    <xf numFmtId="0" fontId="8" fillId="6" borderId="9" xfId="0" applyFont="1" applyFill="1" applyBorder="1" applyAlignment="1" applyProtection="1">
      <alignment horizontal="center" vertical="center" wrapText="1"/>
    </xf>
    <xf numFmtId="169" fontId="8" fillId="6" borderId="9" xfId="0" applyNumberFormat="1" applyFont="1" applyFill="1" applyBorder="1" applyAlignment="1" applyProtection="1">
      <alignment horizontal="center" vertical="center" wrapText="1"/>
    </xf>
    <xf numFmtId="49" fontId="8" fillId="6" borderId="11" xfId="0" applyNumberFormat="1" applyFont="1" applyFill="1" applyBorder="1" applyAlignment="1" applyProtection="1">
      <alignment horizontal="center" vertical="center" wrapText="1"/>
    </xf>
    <xf numFmtId="0" fontId="8" fillId="6" borderId="11" xfId="0" applyFont="1" applyFill="1" applyBorder="1" applyAlignment="1" applyProtection="1">
      <alignment vertical="center" wrapText="1"/>
    </xf>
    <xf numFmtId="0" fontId="8" fillId="6" borderId="11" xfId="0" applyFont="1" applyFill="1" applyBorder="1" applyAlignment="1" applyProtection="1">
      <alignment horizontal="center" vertical="center" wrapText="1"/>
    </xf>
    <xf numFmtId="49" fontId="8" fillId="0" borderId="0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center" wrapText="1"/>
    </xf>
    <xf numFmtId="169" fontId="8" fillId="0" borderId="0" xfId="0" applyNumberFormat="1" applyFont="1" applyBorder="1" applyAlignment="1" applyProtection="1">
      <alignment horizontal="center" vertical="center" wrapText="1"/>
    </xf>
    <xf numFmtId="49" fontId="23" fillId="0" borderId="7" xfId="0" applyNumberFormat="1" applyFont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vertical="center" wrapText="1"/>
    </xf>
    <xf numFmtId="0" fontId="23" fillId="0" borderId="7" xfId="0" applyFont="1" applyBorder="1" applyAlignment="1" applyProtection="1">
      <alignment horizontal="center" vertical="center" wrapText="1"/>
    </xf>
    <xf numFmtId="49" fontId="23" fillId="0" borderId="9" xfId="0" applyNumberFormat="1" applyFont="1" applyBorder="1" applyAlignment="1" applyProtection="1">
      <alignment horizontal="center" vertical="center" wrapText="1"/>
    </xf>
    <xf numFmtId="0" fontId="23" fillId="0" borderId="9" xfId="0" applyFont="1" applyBorder="1" applyAlignment="1" applyProtection="1">
      <alignment horizontal="left" vertical="center" wrapText="1"/>
    </xf>
    <xf numFmtId="0" fontId="23" fillId="0" borderId="9" xfId="0" applyFont="1" applyBorder="1" applyAlignment="1" applyProtection="1">
      <alignment horizontal="center" vertical="center" wrapText="1"/>
    </xf>
    <xf numFmtId="169" fontId="8" fillId="0" borderId="9" xfId="0" applyNumberFormat="1" applyFont="1" applyBorder="1" applyAlignment="1" applyProtection="1">
      <alignment horizontal="center" vertical="center" wrapText="1"/>
    </xf>
    <xf numFmtId="49" fontId="23" fillId="0" borderId="11" xfId="0" applyNumberFormat="1" applyFont="1" applyBorder="1" applyAlignment="1" applyProtection="1">
      <alignment horizontal="center" vertical="center" wrapText="1"/>
    </xf>
    <xf numFmtId="0" fontId="23" fillId="0" borderId="11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 vertical="center"/>
    </xf>
    <xf numFmtId="0" fontId="8" fillId="0" borderId="5" xfId="0" applyFont="1" applyBorder="1" applyAlignment="1" applyProtection="1">
      <alignment vertical="center" wrapText="1"/>
    </xf>
    <xf numFmtId="0" fontId="22" fillId="0" borderId="7" xfId="0" applyFont="1" applyFill="1" applyBorder="1" applyAlignment="1" applyProtection="1">
      <alignment horizontal="center" vertical="center" wrapText="1"/>
    </xf>
    <xf numFmtId="49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 wrapText="1"/>
    </xf>
    <xf numFmtId="49" fontId="8" fillId="0" borderId="11" xfId="0" applyNumberFormat="1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</xf>
    <xf numFmtId="49" fontId="23" fillId="0" borderId="5" xfId="0" applyNumberFormat="1" applyFont="1" applyBorder="1" applyAlignment="1" applyProtection="1">
      <alignment horizontal="center" vertical="center" wrapText="1"/>
    </xf>
    <xf numFmtId="0" fontId="23" fillId="0" borderId="5" xfId="0" applyFont="1" applyBorder="1" applyAlignment="1" applyProtection="1">
      <alignment vertical="center" wrapText="1"/>
    </xf>
    <xf numFmtId="0" fontId="23" fillId="0" borderId="5" xfId="0" applyFont="1" applyBorder="1" applyAlignment="1" applyProtection="1">
      <alignment horizontal="center" vertical="center" wrapText="1"/>
    </xf>
    <xf numFmtId="169" fontId="8" fillId="0" borderId="5" xfId="0" applyNumberFormat="1" applyFont="1" applyBorder="1" applyAlignment="1" applyProtection="1">
      <alignment horizontal="center" vertical="center" wrapText="1"/>
    </xf>
    <xf numFmtId="0" fontId="24" fillId="0" borderId="5" xfId="0" applyFont="1" applyBorder="1" applyAlignment="1" applyProtection="1">
      <alignment horizontal="center" vertical="center"/>
    </xf>
    <xf numFmtId="0" fontId="23" fillId="0" borderId="9" xfId="0" applyFont="1" applyBorder="1" applyAlignment="1" applyProtection="1">
      <alignment vertical="center" wrapText="1"/>
    </xf>
    <xf numFmtId="0" fontId="24" fillId="0" borderId="9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 wrapText="1"/>
    </xf>
    <xf numFmtId="49" fontId="23" fillId="0" borderId="0" xfId="0" applyNumberFormat="1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vertical="center" wrapText="1"/>
    </xf>
    <xf numFmtId="0" fontId="23" fillId="0" borderId="0" xfId="0" applyFont="1" applyBorder="1" applyAlignment="1" applyProtection="1">
      <alignment horizontal="center" vertical="center" wrapText="1"/>
    </xf>
    <xf numFmtId="0" fontId="16" fillId="7" borderId="10" xfId="0" applyFont="1" applyFill="1" applyBorder="1" applyAlignment="1" applyProtection="1">
      <alignment horizontal="left" vertical="center"/>
    </xf>
    <xf numFmtId="0" fontId="16" fillId="7" borderId="10" xfId="0" applyFont="1" applyFill="1" applyBorder="1" applyAlignment="1" applyProtection="1">
      <alignment horizontal="center" vertical="center"/>
    </xf>
    <xf numFmtId="169" fontId="11" fillId="7" borderId="10" xfId="0" applyNumberFormat="1" applyFont="1" applyFill="1" applyBorder="1" applyAlignment="1" applyProtection="1">
      <alignment horizontal="center" vertical="center"/>
    </xf>
    <xf numFmtId="49" fontId="23" fillId="0" borderId="10" xfId="0" applyNumberFormat="1" applyFont="1" applyBorder="1" applyAlignment="1" applyProtection="1">
      <alignment horizontal="center" vertical="center" wrapText="1"/>
    </xf>
    <xf numFmtId="0" fontId="23" fillId="0" borderId="10" xfId="0" applyFont="1" applyBorder="1" applyAlignment="1" applyProtection="1">
      <alignment vertical="center" wrapText="1"/>
    </xf>
    <xf numFmtId="0" fontId="23" fillId="0" borderId="10" xfId="0" applyFont="1" applyBorder="1" applyAlignment="1" applyProtection="1">
      <alignment horizontal="center" vertical="center" wrapText="1"/>
    </xf>
    <xf numFmtId="0" fontId="23" fillId="0" borderId="10" xfId="0" applyFont="1" applyBorder="1" applyAlignment="1" applyProtection="1">
      <alignment horizontal="center" vertical="center"/>
    </xf>
    <xf numFmtId="0" fontId="23" fillId="0" borderId="9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horizontal="center" vertical="center"/>
    </xf>
    <xf numFmtId="169" fontId="8" fillId="0" borderId="11" xfId="0" applyNumberFormat="1" applyFont="1" applyBorder="1" applyAlignment="1" applyProtection="1">
      <alignment horizontal="center" vertical="center" wrapText="1"/>
    </xf>
    <xf numFmtId="0" fontId="11" fillId="0" borderId="0" xfId="0" applyFont="1" applyFill="1" applyProtection="1"/>
    <xf numFmtId="49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Protection="1"/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169" fontId="8" fillId="0" borderId="0" xfId="0" applyNumberFormat="1" applyFont="1" applyFill="1" applyBorder="1" applyAlignment="1" applyProtection="1">
      <alignment horizontal="center" vertical="center" wrapText="1"/>
    </xf>
    <xf numFmtId="0" fontId="20" fillId="0" borderId="6" xfId="0" applyFont="1" applyBorder="1" applyAlignment="1" applyProtection="1">
      <alignment vertical="center"/>
    </xf>
    <xf numFmtId="0" fontId="8" fillId="0" borderId="6" xfId="0" applyFont="1" applyFill="1" applyBorder="1" applyAlignment="1" applyProtection="1">
      <alignment horizontal="center" vertical="center" wrapText="1"/>
    </xf>
    <xf numFmtId="16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169" fontId="8" fillId="0" borderId="8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left" vertical="center"/>
    </xf>
    <xf numFmtId="169" fontId="29" fillId="0" borderId="0" xfId="0" applyNumberFormat="1" applyFont="1" applyAlignment="1" applyProtection="1">
      <alignment horizontal="left" vertical="center"/>
    </xf>
    <xf numFmtId="0" fontId="8" fillId="0" borderId="6" xfId="0" applyFont="1" applyBorder="1" applyAlignment="1" applyProtection="1">
      <alignment horizontal="center" vertical="center" wrapText="1"/>
    </xf>
    <xf numFmtId="0" fontId="11" fillId="0" borderId="9" xfId="0" applyFont="1" applyBorder="1" applyProtection="1"/>
    <xf numFmtId="0" fontId="20" fillId="0" borderId="11" xfId="0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169" fontId="29" fillId="0" borderId="6" xfId="0" applyNumberFormat="1" applyFont="1" applyBorder="1" applyAlignment="1" applyProtection="1">
      <alignment horizontal="left" vertical="center"/>
    </xf>
    <xf numFmtId="0" fontId="11" fillId="0" borderId="6" xfId="0" applyFont="1" applyBorder="1" applyProtection="1"/>
    <xf numFmtId="0" fontId="23" fillId="0" borderId="11" xfId="0" applyFont="1" applyBorder="1" applyAlignment="1" applyProtection="1">
      <alignment vertical="center" wrapText="1"/>
    </xf>
    <xf numFmtId="0" fontId="11" fillId="0" borderId="0" xfId="0" applyFont="1" applyBorder="1" applyProtection="1"/>
    <xf numFmtId="0" fontId="16" fillId="7" borderId="0" xfId="0" applyFont="1" applyFill="1" applyBorder="1" applyAlignment="1" applyProtection="1">
      <alignment horizontal="center" vertical="center"/>
    </xf>
    <xf numFmtId="0" fontId="11" fillId="0" borderId="5" xfId="0" applyFont="1" applyBorder="1" applyProtection="1"/>
    <xf numFmtId="169" fontId="11" fillId="0" borderId="5" xfId="0" applyNumberFormat="1" applyFont="1" applyBorder="1" applyProtection="1"/>
    <xf numFmtId="0" fontId="8" fillId="0" borderId="5" xfId="0" applyFont="1" applyBorder="1" applyAlignment="1" applyProtection="1">
      <alignment horizontal="center" vertical="center" wrapText="1"/>
    </xf>
    <xf numFmtId="49" fontId="8" fillId="0" borderId="5" xfId="0" applyNumberFormat="1" applyFont="1" applyBorder="1" applyAlignment="1" applyProtection="1">
      <alignment horizontal="center" vertical="center" wrapText="1"/>
    </xf>
    <xf numFmtId="0" fontId="20" fillId="0" borderId="6" xfId="0" applyFont="1" applyFill="1" applyBorder="1" applyAlignment="1" applyProtection="1">
      <alignment horizontal="left" vertical="center"/>
    </xf>
    <xf numFmtId="169" fontId="29" fillId="0" borderId="6" xfId="0" applyNumberFormat="1" applyFont="1" applyFill="1" applyBorder="1" applyAlignment="1" applyProtection="1">
      <alignment horizontal="left" vertical="center"/>
    </xf>
    <xf numFmtId="49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20" fillId="0" borderId="9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left" vertical="center"/>
    </xf>
    <xf numFmtId="169" fontId="29" fillId="0" borderId="0" xfId="0" applyNumberFormat="1" applyFont="1" applyFill="1" applyBorder="1" applyAlignment="1" applyProtection="1">
      <alignment horizontal="left" vertical="center"/>
    </xf>
    <xf numFmtId="169" fontId="8" fillId="0" borderId="11" xfId="0" applyNumberFormat="1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left" vertical="center"/>
    </xf>
    <xf numFmtId="0" fontId="20" fillId="0" borderId="0" xfId="0" applyFont="1" applyFill="1" applyAlignment="1" applyProtection="1">
      <alignment horizontal="left" vertical="center"/>
    </xf>
    <xf numFmtId="169" fontId="29" fillId="0" borderId="0" xfId="0" applyNumberFormat="1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center" vertical="center"/>
    </xf>
    <xf numFmtId="0" fontId="11" fillId="0" borderId="11" xfId="0" applyFont="1" applyBorder="1" applyProtection="1"/>
    <xf numFmtId="169" fontId="8" fillId="0" borderId="9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vertical="center" wrapText="1"/>
    </xf>
    <xf numFmtId="0" fontId="20" fillId="0" borderId="12" xfId="0" applyFont="1" applyFill="1" applyBorder="1" applyAlignment="1" applyProtection="1">
      <alignment horizontal="left" vertical="center"/>
    </xf>
    <xf numFmtId="0" fontId="8" fillId="0" borderId="12" xfId="0" applyFont="1" applyFill="1" applyBorder="1" applyAlignment="1" applyProtection="1">
      <alignment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169" fontId="8" fillId="0" borderId="12" xfId="0" applyNumberFormat="1" applyFont="1" applyFill="1" applyBorder="1" applyAlignment="1" applyProtection="1">
      <alignment horizontal="center" vertical="center" wrapText="1"/>
    </xf>
    <xf numFmtId="49" fontId="8" fillId="0" borderId="12" xfId="0" applyNumberFormat="1" applyFont="1" applyFill="1" applyBorder="1" applyAlignment="1" applyProtection="1">
      <alignment horizontal="center" vertical="center" wrapText="1"/>
    </xf>
    <xf numFmtId="49" fontId="8" fillId="6" borderId="5" xfId="0" applyNumberFormat="1" applyFont="1" applyFill="1" applyBorder="1" applyAlignment="1" applyProtection="1">
      <alignment horizontal="center" vertical="center" wrapText="1"/>
    </xf>
    <xf numFmtId="0" fontId="8" fillId="6" borderId="5" xfId="0" applyFont="1" applyFill="1" applyBorder="1" applyAlignment="1" applyProtection="1">
      <alignment vertical="center" wrapText="1"/>
    </xf>
    <xf numFmtId="0" fontId="8" fillId="6" borderId="5" xfId="0" applyFont="1" applyFill="1" applyBorder="1" applyAlignment="1" applyProtection="1">
      <alignment horizontal="center" vertical="center" wrapText="1"/>
    </xf>
    <xf numFmtId="169" fontId="8" fillId="6" borderId="5" xfId="0" applyNumberFormat="1" applyFont="1" applyFill="1" applyBorder="1" applyAlignment="1" applyProtection="1">
      <alignment horizontal="center" vertical="center" wrapText="1"/>
    </xf>
    <xf numFmtId="49" fontId="8" fillId="6" borderId="6" xfId="0" applyNumberFormat="1" applyFont="1" applyFill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</xf>
    <xf numFmtId="0" fontId="11" fillId="6" borderId="0" xfId="0" applyFont="1" applyFill="1" applyProtection="1"/>
    <xf numFmtId="169" fontId="11" fillId="6" borderId="0" xfId="0" applyNumberFormat="1" applyFont="1" applyFill="1" applyProtection="1"/>
    <xf numFmtId="0" fontId="8" fillId="6" borderId="6" xfId="0" applyFont="1" applyFill="1" applyBorder="1" applyAlignment="1" applyProtection="1">
      <alignment vertical="center" wrapText="1"/>
    </xf>
    <xf numFmtId="169" fontId="14" fillId="0" borderId="0" xfId="0" applyNumberFormat="1" applyFont="1" applyAlignment="1">
      <alignment horizontal="right" vertical="center"/>
    </xf>
    <xf numFmtId="169" fontId="15" fillId="0" borderId="0" xfId="0" applyNumberFormat="1" applyFont="1" applyAlignment="1">
      <alignment horizontal="right" vertical="center"/>
    </xf>
    <xf numFmtId="169" fontId="11" fillId="0" borderId="15" xfId="0" applyNumberFormat="1" applyFont="1" applyBorder="1" applyAlignment="1">
      <alignment horizontal="right" vertical="center"/>
    </xf>
    <xf numFmtId="170" fontId="11" fillId="0" borderId="4" xfId="0" applyNumberFormat="1" applyFont="1" applyBorder="1" applyAlignment="1">
      <alignment horizontal="right" vertical="center"/>
    </xf>
    <xf numFmtId="169" fontId="1" fillId="3" borderId="1" xfId="0" applyNumberFormat="1" applyFont="1" applyFill="1" applyBorder="1" applyAlignment="1">
      <alignment horizontal="right" vertical="center"/>
    </xf>
    <xf numFmtId="0" fontId="0" fillId="0" borderId="0" xfId="0"/>
    <xf numFmtId="170" fontId="11" fillId="0" borderId="14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169" fontId="1" fillId="3" borderId="27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31" fillId="0" borderId="0" xfId="0" applyFont="1" applyProtection="1">
      <protection locked="0"/>
    </xf>
    <xf numFmtId="0" fontId="0" fillId="0" borderId="0" xfId="0" applyAlignment="1" applyProtection="1">
      <alignment vertical="center"/>
    </xf>
    <xf numFmtId="49" fontId="6" fillId="0" borderId="9" xfId="0" applyNumberFormat="1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0" fillId="0" borderId="9" xfId="0" applyBorder="1" applyProtection="1"/>
    <xf numFmtId="169" fontId="11" fillId="4" borderId="15" xfId="0" applyNumberFormat="1" applyFont="1" applyFill="1" applyBorder="1" applyAlignment="1" applyProtection="1">
      <alignment horizontal="right" vertical="center"/>
      <protection locked="0"/>
    </xf>
    <xf numFmtId="170" fontId="11" fillId="4" borderId="4" xfId="0" applyNumberFormat="1" applyFont="1" applyFill="1" applyBorder="1" applyAlignment="1">
      <alignment horizontal="right" vertical="center"/>
    </xf>
    <xf numFmtId="3" fontId="33" fillId="3" borderId="20" xfId="0" applyNumberFormat="1" applyFont="1" applyFill="1" applyBorder="1" applyAlignment="1">
      <alignment horizontal="center" vertical="center"/>
    </xf>
    <xf numFmtId="0" fontId="14" fillId="0" borderId="0" xfId="0" applyFont="1" applyProtection="1"/>
    <xf numFmtId="169" fontId="14" fillId="0" borderId="0" xfId="0" applyNumberFormat="1" applyFont="1" applyProtection="1"/>
    <xf numFmtId="169" fontId="14" fillId="0" borderId="0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10" fillId="0" borderId="0" xfId="0" applyFont="1" applyAlignment="1">
      <alignment horizontal="right"/>
    </xf>
    <xf numFmtId="0" fontId="10" fillId="0" borderId="0" xfId="0" applyFont="1" applyBorder="1"/>
    <xf numFmtId="0" fontId="34" fillId="5" borderId="1" xfId="0" applyNumberFormat="1" applyFont="1" applyFill="1" applyBorder="1" applyAlignment="1" applyProtection="1">
      <alignment horizontal="center" vertical="center" wrapText="1"/>
    </xf>
    <xf numFmtId="0" fontId="35" fillId="0" borderId="1" xfId="0" applyNumberFormat="1" applyFont="1" applyFill="1" applyBorder="1" applyAlignment="1" applyProtection="1">
      <alignment horizontal="center" vertical="center" wrapText="1"/>
    </xf>
    <xf numFmtId="0" fontId="35" fillId="0" borderId="1" xfId="0" applyNumberFormat="1" applyFont="1" applyBorder="1" applyAlignment="1" applyProtection="1">
      <alignment horizontal="center" vertical="center" wrapText="1"/>
    </xf>
    <xf numFmtId="0" fontId="34" fillId="0" borderId="15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 vertical="center"/>
    </xf>
    <xf numFmtId="49" fontId="35" fillId="0" borderId="1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5" borderId="1" xfId="0" applyNumberFormat="1" applyFont="1" applyFill="1" applyBorder="1" applyAlignment="1">
      <alignment horizontal="center" vertical="center"/>
    </xf>
    <xf numFmtId="0" fontId="34" fillId="5" borderId="1" xfId="0" applyNumberFormat="1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 applyProtection="1">
      <alignment horizontal="left" vertical="center" wrapText="1"/>
    </xf>
    <xf numFmtId="0" fontId="8" fillId="5" borderId="3" xfId="0" applyFont="1" applyFill="1" applyBorder="1" applyAlignment="1" applyProtection="1">
      <alignment horizontal="left" vertical="center" wrapText="1"/>
    </xf>
    <xf numFmtId="0" fontId="8" fillId="5" borderId="4" xfId="0" applyFont="1" applyFill="1" applyBorder="1" applyAlignment="1" applyProtection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center" vertical="center" wrapText="1"/>
    </xf>
    <xf numFmtId="169" fontId="1" fillId="8" borderId="26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64" fontId="16" fillId="9" borderId="1" xfId="0" applyNumberFormat="1" applyFont="1" applyFill="1" applyBorder="1" applyAlignment="1" applyProtection="1">
      <alignment horizontal="center" vertical="center"/>
      <protection locked="0"/>
    </xf>
    <xf numFmtId="166" fontId="16" fillId="9" borderId="1" xfId="0" applyNumberFormat="1" applyFont="1" applyFill="1" applyBorder="1" applyAlignment="1" applyProtection="1">
      <alignment horizontal="center" vertical="center"/>
      <protection locked="0"/>
    </xf>
    <xf numFmtId="165" fontId="11" fillId="9" borderId="1" xfId="0" applyNumberFormat="1" applyFont="1" applyFill="1" applyBorder="1" applyAlignment="1" applyProtection="1">
      <alignment horizontal="center" vertical="center"/>
      <protection locked="0"/>
    </xf>
    <xf numFmtId="0" fontId="0" fillId="9" borderId="2" xfId="0" applyFill="1" applyBorder="1" applyAlignment="1">
      <alignment horizontal="left" vertical="center"/>
    </xf>
    <xf numFmtId="0" fontId="0" fillId="9" borderId="3" xfId="0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/>
    </xf>
    <xf numFmtId="165" fontId="32" fillId="9" borderId="1" xfId="0" applyNumberFormat="1" applyFont="1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>
      <alignment horizontal="left" vertical="center"/>
    </xf>
    <xf numFmtId="0" fontId="0" fillId="9" borderId="1" xfId="0" applyFill="1" applyBorder="1" applyAlignment="1">
      <alignment vertical="center"/>
    </xf>
    <xf numFmtId="0" fontId="0" fillId="9" borderId="1" xfId="0" applyFill="1" applyBorder="1" applyAlignment="1" applyProtection="1">
      <alignment horizontal="center" vertical="center"/>
      <protection locked="0"/>
    </xf>
    <xf numFmtId="0" fontId="10" fillId="9" borderId="1" xfId="0" applyFont="1" applyFill="1" applyBorder="1" applyAlignment="1">
      <alignment horizontal="center" vertical="center"/>
    </xf>
    <xf numFmtId="0" fontId="0" fillId="9" borderId="1" xfId="0" applyFill="1" applyBorder="1" applyAlignment="1" applyProtection="1">
      <alignment vertical="center"/>
      <protection locked="0"/>
    </xf>
    <xf numFmtId="0" fontId="11" fillId="0" borderId="15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left" vertical="center"/>
    </xf>
    <xf numFmtId="0" fontId="2" fillId="9" borderId="3" xfId="0" applyFont="1" applyFill="1" applyBorder="1" applyAlignment="1">
      <alignment horizontal="left" vertical="center"/>
    </xf>
    <xf numFmtId="0" fontId="2" fillId="9" borderId="4" xfId="0" applyFont="1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0" fillId="9" borderId="3" xfId="0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/>
    </xf>
    <xf numFmtId="0" fontId="5" fillId="8" borderId="18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0" fillId="9" borderId="28" xfId="0" applyFill="1" applyBorder="1" applyAlignment="1">
      <alignment horizontal="center" vertical="center"/>
    </xf>
    <xf numFmtId="0" fontId="0" fillId="9" borderId="29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7" fontId="6" fillId="0" borderId="2" xfId="0" applyNumberFormat="1" applyFont="1" applyBorder="1" applyAlignment="1" applyProtection="1">
      <alignment horizontal="left" vertical="center" wrapText="1"/>
    </xf>
    <xf numFmtId="167" fontId="6" fillId="0" borderId="3" xfId="0" applyNumberFormat="1" applyFont="1" applyBorder="1" applyAlignment="1" applyProtection="1">
      <alignment horizontal="left" vertical="center" wrapText="1"/>
    </xf>
    <xf numFmtId="167" fontId="6" fillId="0" borderId="4" xfId="0" applyNumberFormat="1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/>
    </xf>
    <xf numFmtId="0" fontId="8" fillId="5" borderId="2" xfId="0" applyFont="1" applyFill="1" applyBorder="1" applyAlignment="1" applyProtection="1">
      <alignment horizontal="left" vertical="center" wrapText="1"/>
    </xf>
    <xf numFmtId="0" fontId="8" fillId="5" borderId="3" xfId="0" applyFont="1" applyFill="1" applyBorder="1" applyAlignment="1" applyProtection="1">
      <alignment horizontal="left" vertical="center" wrapText="1"/>
    </xf>
    <xf numFmtId="0" fontId="8" fillId="5" borderId="4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0" fillId="5" borderId="1" xfId="0" applyFill="1" applyBorder="1" applyAlignment="1">
      <alignment horizontal="left" vertical="center"/>
    </xf>
    <xf numFmtId="0" fontId="8" fillId="5" borderId="1" xfId="0" applyFont="1" applyFill="1" applyBorder="1" applyAlignment="1" applyProtection="1">
      <alignment horizontal="left" vertical="center" wrapText="1"/>
    </xf>
    <xf numFmtId="0" fontId="24" fillId="0" borderId="5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4" fillId="0" borderId="6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left" vertical="center"/>
    </xf>
    <xf numFmtId="0" fontId="21" fillId="0" borderId="6" xfId="0" applyFont="1" applyBorder="1" applyAlignment="1" applyProtection="1">
      <alignment horizontal="left" vertical="center"/>
    </xf>
    <xf numFmtId="0" fontId="20" fillId="0" borderId="0" xfId="0" applyFont="1" applyFill="1" applyAlignment="1" applyProtection="1">
      <alignment horizontal="left" vertical="center"/>
    </xf>
    <xf numFmtId="49" fontId="23" fillId="0" borderId="9" xfId="0" applyNumberFormat="1" applyFont="1" applyFill="1" applyBorder="1" applyAlignment="1" applyProtection="1">
      <alignment horizontal="center" vertical="center" wrapText="1"/>
    </xf>
    <xf numFmtId="0" fontId="20" fillId="6" borderId="0" xfId="0" applyFont="1" applyFill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0" fontId="25" fillId="0" borderId="6" xfId="0" applyFont="1" applyBorder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5" fillId="0" borderId="11" xfId="0" applyFont="1" applyBorder="1" applyAlignment="1" applyProtection="1">
      <alignment horizontal="left" vertical="center"/>
    </xf>
    <xf numFmtId="0" fontId="28" fillId="0" borderId="0" xfId="0" applyFont="1" applyAlignment="1" applyProtection="1">
      <alignment horizontal="center" vertical="center" wrapText="1"/>
    </xf>
    <xf numFmtId="0" fontId="20" fillId="0" borderId="8" xfId="0" applyFont="1" applyBorder="1" applyAlignment="1" applyProtection="1">
      <alignment horizontal="left" vertical="center"/>
    </xf>
    <xf numFmtId="0" fontId="36" fillId="8" borderId="1" xfId="0" applyFont="1" applyFill="1" applyBorder="1" applyAlignment="1">
      <alignment horizontal="center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1957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69556</xdr:colOff>
      <xdr:row>7</xdr:row>
      <xdr:rowOff>141192</xdr:rowOff>
    </xdr:from>
    <xdr:to>
      <xdr:col>26</xdr:col>
      <xdr:colOff>84966</xdr:colOff>
      <xdr:row>15</xdr:row>
      <xdr:rowOff>154638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1997" y="1788457"/>
          <a:ext cx="2760851" cy="15374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5</xdr:col>
      <xdr:colOff>100853</xdr:colOff>
      <xdr:row>1</xdr:row>
      <xdr:rowOff>14213</xdr:rowOff>
    </xdr:from>
    <xdr:to>
      <xdr:col>5</xdr:col>
      <xdr:colOff>1333498</xdr:colOff>
      <xdr:row>5</xdr:row>
      <xdr:rowOff>29133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153" y="280913"/>
          <a:ext cx="1232645" cy="104362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5</xdr:col>
      <xdr:colOff>818031</xdr:colOff>
      <xdr:row>4</xdr:row>
      <xdr:rowOff>87048</xdr:rowOff>
    </xdr:from>
    <xdr:to>
      <xdr:col>26</xdr:col>
      <xdr:colOff>112059</xdr:colOff>
      <xdr:row>7</xdr:row>
      <xdr:rowOff>93272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0472" y="1028342"/>
          <a:ext cx="2039469" cy="712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9"/>
  <sheetViews>
    <sheetView showGridLines="0" tabSelected="1" topLeftCell="A52" zoomScale="85" zoomScaleNormal="85" zoomScaleSheetLayoutView="100" workbookViewId="0">
      <selection activeCell="E11" sqref="E11"/>
    </sheetView>
  </sheetViews>
  <sheetFormatPr baseColWidth="10" defaultColWidth="11.5703125" defaultRowHeight="15" x14ac:dyDescent="0.25"/>
  <cols>
    <col min="1" max="1" width="11.5703125" style="210"/>
    <col min="2" max="2" width="11.5703125" style="1"/>
    <col min="3" max="3" width="15.28515625" style="2" customWidth="1"/>
    <col min="4" max="4" width="32.28515625" style="2" customWidth="1"/>
    <col min="5" max="5" width="10.42578125" style="210" customWidth="1"/>
    <col min="6" max="6" width="41.140625" style="3" customWidth="1"/>
    <col min="7" max="7" width="13.5703125" style="25" hidden="1" customWidth="1"/>
    <col min="8" max="8" width="13.5703125" style="205" hidden="1" customWidth="1"/>
    <col min="9" max="9" width="15.85546875" style="205" hidden="1" customWidth="1"/>
    <col min="10" max="10" width="13.5703125" style="30" hidden="1" customWidth="1"/>
    <col min="11" max="11" width="11.42578125" style="31" hidden="1" customWidth="1"/>
    <col min="12" max="14" width="6.85546875" style="32" hidden="1" customWidth="1"/>
    <col min="15" max="15" width="11.42578125" style="32" hidden="1" customWidth="1"/>
    <col min="16" max="24" width="11.42578125" style="31" hidden="1" customWidth="1"/>
    <col min="25" max="26" width="0" style="31" hidden="1" customWidth="1"/>
    <col min="27" max="30" width="11.5703125" style="31"/>
    <col min="31" max="16384" width="11.5703125" style="210"/>
  </cols>
  <sheetData>
    <row r="1" spans="1:31" ht="21" x14ac:dyDescent="0.25">
      <c r="A1" s="271" t="s">
        <v>366</v>
      </c>
      <c r="B1" s="271"/>
      <c r="C1" s="271"/>
      <c r="D1" s="271"/>
      <c r="E1" s="271"/>
      <c r="F1" s="271"/>
      <c r="G1" s="271"/>
      <c r="H1" s="271"/>
      <c r="I1" s="271"/>
      <c r="K1" s="36"/>
      <c r="L1" s="37"/>
      <c r="M1" s="37"/>
      <c r="N1" s="37"/>
      <c r="O1" s="37"/>
      <c r="P1" s="36"/>
      <c r="Q1" s="36"/>
      <c r="R1" s="36"/>
      <c r="S1" s="36"/>
      <c r="T1" s="36"/>
    </row>
    <row r="2" spans="1:31" ht="18" customHeight="1" x14ac:dyDescent="0.25">
      <c r="B2" s="53" t="s">
        <v>42</v>
      </c>
      <c r="C2" s="54"/>
      <c r="H2" s="210" t="s">
        <v>365</v>
      </c>
      <c r="K2" s="36"/>
      <c r="L2" s="37">
        <v>400</v>
      </c>
      <c r="M2" s="37">
        <v>50</v>
      </c>
      <c r="N2" s="37">
        <v>13.2</v>
      </c>
      <c r="O2" s="37">
        <v>35</v>
      </c>
      <c r="P2" s="36" t="s">
        <v>282</v>
      </c>
      <c r="Q2" s="36">
        <v>231910</v>
      </c>
      <c r="R2" s="36" t="s">
        <v>287</v>
      </c>
      <c r="S2" s="36"/>
      <c r="T2" s="36"/>
    </row>
    <row r="3" spans="1:31" ht="18" customHeight="1" x14ac:dyDescent="0.25">
      <c r="H3" s="1" t="s">
        <v>40</v>
      </c>
      <c r="K3" s="36"/>
      <c r="L3" s="37">
        <v>500</v>
      </c>
      <c r="M3" s="37">
        <v>50</v>
      </c>
      <c r="N3" s="37">
        <v>33</v>
      </c>
      <c r="O3" s="37">
        <v>50</v>
      </c>
      <c r="P3" s="36" t="s">
        <v>283</v>
      </c>
      <c r="Q3" s="36">
        <v>231900</v>
      </c>
      <c r="R3" s="36" t="s">
        <v>288</v>
      </c>
      <c r="S3" s="36"/>
      <c r="T3" s="36"/>
    </row>
    <row r="4" spans="1:31" ht="18" customHeight="1" x14ac:dyDescent="0.25">
      <c r="H4" s="272" t="s">
        <v>369</v>
      </c>
      <c r="I4" s="272"/>
      <c r="K4" s="36"/>
      <c r="L4" s="37">
        <v>600</v>
      </c>
      <c r="M4" s="37">
        <v>50</v>
      </c>
      <c r="N4" s="37"/>
      <c r="O4" s="37">
        <v>70</v>
      </c>
      <c r="P4" s="36"/>
      <c r="Q4" s="36"/>
      <c r="R4" s="36"/>
      <c r="S4" s="36"/>
      <c r="T4" s="36"/>
    </row>
    <row r="5" spans="1:31" s="4" customFormat="1" ht="27" customHeight="1" x14ac:dyDescent="0.25">
      <c r="A5" s="251" t="s">
        <v>0</v>
      </c>
      <c r="B5" s="273" t="s">
        <v>41</v>
      </c>
      <c r="C5" s="274"/>
      <c r="D5" s="275"/>
      <c r="E5" s="251" t="s">
        <v>2</v>
      </c>
      <c r="F5" s="210"/>
      <c r="G5" s="26"/>
      <c r="H5" s="272"/>
      <c r="I5" s="272"/>
      <c r="J5" s="33"/>
      <c r="K5" s="38"/>
      <c r="L5" s="39">
        <v>700</v>
      </c>
      <c r="M5" s="39"/>
      <c r="N5" s="39"/>
      <c r="O5" s="39">
        <v>95</v>
      </c>
      <c r="P5" s="38"/>
      <c r="Q5" s="40"/>
      <c r="R5" s="40"/>
      <c r="S5" s="40"/>
      <c r="T5" s="38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1" s="4" customFormat="1" ht="14.25" customHeight="1" x14ac:dyDescent="0.25">
      <c r="A6" s="257" t="s">
        <v>4</v>
      </c>
      <c r="B6" s="276" t="s">
        <v>43</v>
      </c>
      <c r="C6" s="277"/>
      <c r="D6" s="278"/>
      <c r="E6" s="258">
        <v>13.2</v>
      </c>
      <c r="F6" s="210"/>
      <c r="G6" s="26"/>
      <c r="H6" s="206"/>
      <c r="I6" s="206"/>
      <c r="J6" s="33"/>
      <c r="K6" s="38"/>
      <c r="L6" s="39">
        <v>800</v>
      </c>
      <c r="M6" s="39"/>
      <c r="N6" s="39"/>
      <c r="O6" s="39"/>
      <c r="P6" s="220" t="s">
        <v>370</v>
      </c>
      <c r="Q6" s="41">
        <f>+E6</f>
        <v>13.2</v>
      </c>
      <c r="R6" s="40"/>
      <c r="S6" s="40"/>
      <c r="T6" s="38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1" s="4" customFormat="1" ht="14.25" customHeight="1" x14ac:dyDescent="0.25">
      <c r="A7" s="257" t="s">
        <v>4</v>
      </c>
      <c r="B7" s="276" t="s">
        <v>266</v>
      </c>
      <c r="C7" s="277"/>
      <c r="D7" s="278"/>
      <c r="E7" s="259">
        <v>50</v>
      </c>
      <c r="F7" s="210"/>
      <c r="G7" s="26"/>
      <c r="H7" s="206"/>
      <c r="I7" s="206"/>
      <c r="J7" s="33"/>
      <c r="K7" s="38"/>
      <c r="L7" s="39">
        <v>900</v>
      </c>
      <c r="M7" s="39"/>
      <c r="N7" s="39"/>
      <c r="O7" s="39"/>
      <c r="P7" s="220" t="s">
        <v>371</v>
      </c>
      <c r="Q7" s="42">
        <f>+E7</f>
        <v>50</v>
      </c>
      <c r="R7" s="43"/>
      <c r="S7" s="43"/>
      <c r="T7" s="38"/>
      <c r="U7" s="34"/>
      <c r="V7" s="34"/>
      <c r="W7" s="34"/>
      <c r="X7" s="34"/>
      <c r="Y7" s="34"/>
      <c r="Z7" s="34"/>
      <c r="AA7" s="34"/>
      <c r="AB7" s="34"/>
      <c r="AC7" s="34"/>
      <c r="AD7" s="34"/>
    </row>
    <row r="8" spans="1:31" x14ac:dyDescent="0.25">
      <c r="A8" s="257" t="s">
        <v>4</v>
      </c>
      <c r="B8" s="279" t="s">
        <v>5</v>
      </c>
      <c r="C8" s="279"/>
      <c r="D8" s="279"/>
      <c r="E8" s="260">
        <v>800</v>
      </c>
      <c r="F8" s="210"/>
      <c r="K8" s="36"/>
      <c r="L8" s="37">
        <v>1000</v>
      </c>
      <c r="M8" s="37"/>
      <c r="N8" s="37"/>
      <c r="O8" s="37"/>
      <c r="P8" s="36"/>
      <c r="Q8" s="44"/>
      <c r="R8" s="44">
        <v>33</v>
      </c>
      <c r="S8" s="45">
        <v>13.2</v>
      </c>
      <c r="T8" s="36"/>
    </row>
    <row r="9" spans="1:31" x14ac:dyDescent="0.25">
      <c r="A9" s="257" t="s">
        <v>4</v>
      </c>
      <c r="B9" s="279" t="s">
        <v>6</v>
      </c>
      <c r="C9" s="279"/>
      <c r="D9" s="279"/>
      <c r="E9" s="260">
        <v>50</v>
      </c>
      <c r="F9" s="210"/>
      <c r="K9" s="36"/>
      <c r="L9" s="37">
        <v>1500</v>
      </c>
      <c r="M9" s="37"/>
      <c r="N9" s="37"/>
      <c r="O9" s="37"/>
      <c r="P9" s="36"/>
      <c r="Q9" s="44">
        <v>25</v>
      </c>
      <c r="R9" s="44">
        <v>7770</v>
      </c>
      <c r="S9" s="44">
        <v>7780</v>
      </c>
      <c r="T9" s="36"/>
    </row>
    <row r="10" spans="1:31" x14ac:dyDescent="0.25">
      <c r="A10" s="257" t="s">
        <v>4</v>
      </c>
      <c r="B10" s="280" t="s">
        <v>281</v>
      </c>
      <c r="C10" s="281"/>
      <c r="D10" s="282"/>
      <c r="E10" s="260" t="s">
        <v>282</v>
      </c>
      <c r="F10" s="210"/>
      <c r="K10" s="36"/>
      <c r="L10" s="37">
        <v>2000</v>
      </c>
      <c r="M10" s="37"/>
      <c r="N10" s="37"/>
      <c r="O10" s="37"/>
      <c r="P10" s="36"/>
      <c r="Q10" s="44">
        <v>35</v>
      </c>
      <c r="R10" s="44">
        <v>7771</v>
      </c>
      <c r="S10" s="44">
        <v>7781</v>
      </c>
      <c r="T10" s="36"/>
    </row>
    <row r="11" spans="1:31" x14ac:dyDescent="0.25">
      <c r="A11" s="257" t="s">
        <v>4</v>
      </c>
      <c r="B11" s="261" t="s">
        <v>372</v>
      </c>
      <c r="C11" s="262"/>
      <c r="D11" s="263"/>
      <c r="E11" s="264" t="s">
        <v>370</v>
      </c>
      <c r="F11" s="210"/>
      <c r="K11" s="36"/>
      <c r="L11" s="37">
        <v>2500</v>
      </c>
      <c r="M11" s="37"/>
      <c r="N11" s="37"/>
      <c r="O11" s="37"/>
      <c r="P11" s="36"/>
      <c r="Q11" s="44"/>
      <c r="R11" s="44"/>
      <c r="S11" s="44"/>
      <c r="T11" s="36"/>
    </row>
    <row r="12" spans="1:31" x14ac:dyDescent="0.25">
      <c r="A12" s="257" t="s">
        <v>13</v>
      </c>
      <c r="B12" s="265" t="s">
        <v>7</v>
      </c>
      <c r="C12" s="266"/>
      <c r="D12" s="288" t="s">
        <v>270</v>
      </c>
      <c r="E12" s="267">
        <v>1</v>
      </c>
      <c r="F12" s="210"/>
      <c r="K12" s="36"/>
      <c r="L12" s="37">
        <v>3000</v>
      </c>
      <c r="M12" s="37"/>
      <c r="N12" s="37"/>
      <c r="O12" s="37"/>
      <c r="P12" s="36"/>
      <c r="Q12" s="44">
        <v>50</v>
      </c>
      <c r="R12" s="44">
        <v>7772</v>
      </c>
      <c r="S12" s="44">
        <v>235100</v>
      </c>
      <c r="T12" s="36"/>
      <c r="AE12" s="28"/>
    </row>
    <row r="13" spans="1:31" x14ac:dyDescent="0.25">
      <c r="A13" s="257" t="s">
        <v>13</v>
      </c>
      <c r="B13" s="265" t="s">
        <v>8</v>
      </c>
      <c r="C13" s="266"/>
      <c r="D13" s="289"/>
      <c r="E13" s="267">
        <v>1</v>
      </c>
      <c r="F13" s="210"/>
      <c r="K13" s="36"/>
      <c r="L13" s="37"/>
      <c r="M13" s="37"/>
      <c r="N13" s="37"/>
      <c r="O13" s="37"/>
      <c r="P13" s="36"/>
      <c r="Q13" s="46">
        <v>70</v>
      </c>
      <c r="R13" s="46">
        <v>7773</v>
      </c>
      <c r="S13" s="44">
        <v>7783</v>
      </c>
      <c r="T13" s="36"/>
    </row>
    <row r="14" spans="1:31" x14ac:dyDescent="0.25">
      <c r="A14" s="257" t="s">
        <v>13</v>
      </c>
      <c r="B14" s="265" t="s">
        <v>382</v>
      </c>
      <c r="C14" s="266"/>
      <c r="D14" s="289"/>
      <c r="E14" s="267">
        <v>1</v>
      </c>
      <c r="F14" s="210"/>
      <c r="K14" s="36"/>
      <c r="L14" s="37"/>
      <c r="M14" s="37"/>
      <c r="N14" s="37"/>
      <c r="O14" s="37"/>
      <c r="P14" s="36"/>
      <c r="Q14" s="46">
        <v>95</v>
      </c>
      <c r="R14" s="46">
        <v>7774</v>
      </c>
      <c r="S14" s="44">
        <v>7784</v>
      </c>
      <c r="T14" s="36"/>
    </row>
    <row r="15" spans="1:31" x14ac:dyDescent="0.25">
      <c r="A15" s="257" t="s">
        <v>13</v>
      </c>
      <c r="B15" s="265" t="s">
        <v>374</v>
      </c>
      <c r="C15" s="266"/>
      <c r="D15" s="290"/>
      <c r="E15" s="267">
        <v>2</v>
      </c>
      <c r="F15" s="210"/>
      <c r="K15" s="36"/>
      <c r="L15" s="37"/>
      <c r="M15" s="37"/>
      <c r="N15" s="37"/>
      <c r="O15" s="37"/>
      <c r="P15" s="36"/>
      <c r="Q15" s="46"/>
      <c r="R15" s="46"/>
      <c r="S15" s="44"/>
      <c r="T15" s="36"/>
    </row>
    <row r="16" spans="1:31" x14ac:dyDescent="0.25">
      <c r="A16" s="268">
        <f>+E9/9</f>
        <v>5.5555555555555554</v>
      </c>
      <c r="B16" s="279" t="s">
        <v>273</v>
      </c>
      <c r="C16" s="279"/>
      <c r="D16" s="279"/>
      <c r="E16" s="267">
        <f>E9/A16-1</f>
        <v>8</v>
      </c>
      <c r="F16" s="210"/>
      <c r="K16" s="36"/>
      <c r="L16" s="37"/>
      <c r="M16" s="37"/>
      <c r="N16" s="37"/>
      <c r="O16" s="37"/>
      <c r="P16" s="36"/>
      <c r="Q16" s="43"/>
      <c r="R16" s="43"/>
      <c r="S16" s="43"/>
      <c r="T16" s="36"/>
    </row>
    <row r="17" spans="1:30" ht="15.75" thickBot="1" x14ac:dyDescent="0.3">
      <c r="A17" s="212"/>
      <c r="B17" s="213"/>
      <c r="C17" s="213"/>
      <c r="D17" s="213"/>
      <c r="E17" s="214"/>
      <c r="F17" s="27"/>
      <c r="I17" s="231" t="s">
        <v>291</v>
      </c>
      <c r="K17" s="36"/>
      <c r="L17" s="37"/>
      <c r="M17" s="37"/>
      <c r="N17" s="37"/>
      <c r="O17" s="37"/>
      <c r="P17" s="36"/>
      <c r="Q17" s="41">
        <f>+Q6</f>
        <v>13.2</v>
      </c>
      <c r="R17" s="43"/>
      <c r="S17" s="43"/>
      <c r="T17" s="36"/>
    </row>
    <row r="18" spans="1:30" s="4" customFormat="1" ht="21.6" customHeight="1" x14ac:dyDescent="0.25">
      <c r="A18" s="283" t="s">
        <v>9</v>
      </c>
      <c r="B18" s="284"/>
      <c r="C18" s="284"/>
      <c r="D18" s="284"/>
      <c r="E18" s="284"/>
      <c r="F18" s="284"/>
      <c r="G18" s="284"/>
      <c r="H18" s="284"/>
      <c r="I18" s="228">
        <v>45</v>
      </c>
      <c r="J18" s="33"/>
      <c r="K18" s="38">
        <v>111311</v>
      </c>
      <c r="L18" s="47" t="s">
        <v>32</v>
      </c>
      <c r="M18" s="39"/>
      <c r="N18" s="39"/>
      <c r="O18" s="39"/>
      <c r="P18" s="38"/>
      <c r="Q18" s="42">
        <f>+Q7</f>
        <v>50</v>
      </c>
      <c r="R18" s="40"/>
      <c r="S18" s="40"/>
      <c r="T18" s="38"/>
      <c r="U18" s="34"/>
      <c r="V18" s="34"/>
      <c r="W18" s="34"/>
      <c r="X18" s="34"/>
      <c r="Y18" s="34"/>
      <c r="Z18" s="34"/>
      <c r="AA18" s="34"/>
      <c r="AB18" s="34"/>
      <c r="AC18" s="34"/>
      <c r="AD18" s="34"/>
    </row>
    <row r="19" spans="1:30" ht="30.75" thickBot="1" x14ac:dyDescent="0.3">
      <c r="A19" s="252" t="s">
        <v>0</v>
      </c>
      <c r="B19" s="285" t="s">
        <v>1</v>
      </c>
      <c r="C19" s="286"/>
      <c r="D19" s="287"/>
      <c r="E19" s="253" t="s">
        <v>2</v>
      </c>
      <c r="F19" s="254" t="s">
        <v>3</v>
      </c>
      <c r="G19" s="255" t="s">
        <v>3</v>
      </c>
      <c r="H19" s="256" t="s">
        <v>364</v>
      </c>
      <c r="I19" s="217" t="s">
        <v>294</v>
      </c>
      <c r="K19" s="36">
        <v>111339</v>
      </c>
      <c r="L19" s="48" t="s">
        <v>271</v>
      </c>
      <c r="M19" s="37"/>
      <c r="N19" s="37"/>
      <c r="O19" s="37"/>
      <c r="P19" s="36"/>
      <c r="Q19" s="44"/>
      <c r="R19" s="44">
        <v>33</v>
      </c>
      <c r="S19" s="45">
        <v>13.2</v>
      </c>
      <c r="T19" s="36"/>
    </row>
    <row r="20" spans="1:30" x14ac:dyDescent="0.25">
      <c r="A20" s="238">
        <f>+IF($E$10=$P$2,$K$23,$K$22)</f>
        <v>327100</v>
      </c>
      <c r="B20" s="270" t="str">
        <f>VLOOKUP(A20,$K$22:$L$23,2,0)</f>
        <v>MN100 CABLE ACERO GALV, 7 H 6MM</v>
      </c>
      <c r="C20" s="270"/>
      <c r="D20" s="270"/>
      <c r="E20" s="215">
        <f>E8*1.05</f>
        <v>840</v>
      </c>
      <c r="F20" s="216" t="s">
        <v>10</v>
      </c>
      <c r="G20" s="25">
        <f>IFERROR(VLOOKUP(A20,DATOS!$B$6:$F$301,4,0),"")</f>
        <v>0.59</v>
      </c>
      <c r="H20" s="207">
        <f>IFERROR(G20*(1+$I$18/100)/0.975,"")</f>
        <v>0.87743589743589734</v>
      </c>
      <c r="I20" s="211">
        <f>IFERROR(H20*E20,"")</f>
        <v>737.04615384615374</v>
      </c>
      <c r="K20" s="36">
        <v>641431</v>
      </c>
      <c r="L20" s="48" t="s">
        <v>278</v>
      </c>
      <c r="M20" s="37"/>
      <c r="N20" s="37"/>
      <c r="O20" s="37"/>
      <c r="P20" s="36"/>
      <c r="Q20" s="44">
        <v>25</v>
      </c>
      <c r="R20" s="49"/>
      <c r="S20" s="49"/>
      <c r="T20" s="36"/>
    </row>
    <row r="21" spans="1:30" x14ac:dyDescent="0.25">
      <c r="A21" s="239">
        <f>+IF(E7=35,DATOS!B279,IF(E7=50,DATOS!B280,IF(E7=70,DATOS!B281,IF(E7=95,DATOS!B282,"error"))))</f>
        <v>4003050</v>
      </c>
      <c r="B21" s="291" t="str">
        <f>VLOOKUP(A21,DATOS!$B$279:$C$282,2,0)</f>
        <v>METROS DE CABLE PROTEGIDO 50mm ECO COMPAC</v>
      </c>
      <c r="C21" s="291"/>
      <c r="D21" s="291"/>
      <c r="E21" s="8">
        <f>E8*3*1.05</f>
        <v>2520</v>
      </c>
      <c r="F21" s="18" t="s">
        <v>12</v>
      </c>
      <c r="G21" s="25">
        <f>IFERROR(VLOOKUP(A21,DATOS!$B$6:$F$301,4,0),"")</f>
        <v>1.9379999999999999</v>
      </c>
      <c r="H21" s="207">
        <f t="shared" ref="H21:H57" si="0">IFERROR(G21*(1+$I$18/100)/0.975,"")</f>
        <v>2.8821538461538458</v>
      </c>
      <c r="I21" s="208">
        <f t="shared" ref="I21:I57" si="1">IFERROR(H21*E21,"")</f>
        <v>7263.0276923076917</v>
      </c>
      <c r="K21" s="36">
        <v>641400</v>
      </c>
      <c r="L21" s="48" t="s">
        <v>279</v>
      </c>
      <c r="M21" s="37"/>
      <c r="N21" s="37"/>
      <c r="O21" s="37"/>
      <c r="P21" s="36"/>
      <c r="Q21" s="44">
        <v>35</v>
      </c>
      <c r="R21" s="49"/>
      <c r="S21" s="49">
        <v>7851</v>
      </c>
      <c r="T21" s="36"/>
    </row>
    <row r="22" spans="1:30" ht="22.5" x14ac:dyDescent="0.25">
      <c r="A22" s="239" t="s">
        <v>13</v>
      </c>
      <c r="B22" s="218" t="s">
        <v>14</v>
      </c>
      <c r="C22" s="5"/>
      <c r="D22" s="269" t="s">
        <v>368</v>
      </c>
      <c r="E22" s="8">
        <f>E8/E9-1-E25-E15</f>
        <v>12</v>
      </c>
      <c r="F22" s="18" t="s">
        <v>15</v>
      </c>
      <c r="G22" s="205"/>
      <c r="H22" s="226">
        <f>+G22/0.9</f>
        <v>0</v>
      </c>
      <c r="I22" s="227">
        <f t="shared" si="1"/>
        <v>0</v>
      </c>
      <c r="K22" s="36">
        <v>328109</v>
      </c>
      <c r="L22" s="48" t="s">
        <v>286</v>
      </c>
      <c r="M22" s="37"/>
      <c r="N22" s="37"/>
      <c r="O22" s="37"/>
      <c r="P22" s="36"/>
      <c r="Q22" s="44">
        <v>50</v>
      </c>
      <c r="R22" s="49">
        <v>7830</v>
      </c>
      <c r="S22" s="49">
        <v>235152</v>
      </c>
      <c r="T22" s="36"/>
    </row>
    <row r="23" spans="1:30" x14ac:dyDescent="0.25">
      <c r="A23" s="239" t="s">
        <v>13</v>
      </c>
      <c r="B23" s="6" t="s">
        <v>7</v>
      </c>
      <c r="C23" s="7"/>
      <c r="D23" s="269" t="s">
        <v>367</v>
      </c>
      <c r="E23" s="10">
        <f>+E12</f>
        <v>1</v>
      </c>
      <c r="F23" s="18"/>
      <c r="H23" s="226">
        <f t="shared" ref="H23:H26" si="2">+G23/0.9</f>
        <v>0</v>
      </c>
      <c r="I23" s="227">
        <f t="shared" si="1"/>
        <v>0</v>
      </c>
      <c r="K23" s="36">
        <v>327100</v>
      </c>
      <c r="L23" s="48" t="s">
        <v>285</v>
      </c>
      <c r="M23" s="37"/>
      <c r="N23" s="37"/>
      <c r="O23" s="37"/>
      <c r="P23" s="36"/>
      <c r="Q23" s="46">
        <v>70</v>
      </c>
      <c r="R23" s="49">
        <v>7831</v>
      </c>
      <c r="S23" s="49">
        <v>7853</v>
      </c>
      <c r="T23" s="36"/>
    </row>
    <row r="24" spans="1:30" s="12" customFormat="1" x14ac:dyDescent="0.25">
      <c r="A24" s="239" t="s">
        <v>13</v>
      </c>
      <c r="B24" s="6" t="s">
        <v>8</v>
      </c>
      <c r="C24" s="7"/>
      <c r="D24" s="269" t="s">
        <v>367</v>
      </c>
      <c r="E24" s="10">
        <f t="shared" ref="E24:E26" si="3">+E13</f>
        <v>1</v>
      </c>
      <c r="F24" s="18"/>
      <c r="G24" s="25"/>
      <c r="H24" s="226">
        <f t="shared" si="2"/>
        <v>0</v>
      </c>
      <c r="I24" s="227">
        <f t="shared" si="1"/>
        <v>0</v>
      </c>
      <c r="J24" s="30"/>
      <c r="K24" s="50">
        <v>1814</v>
      </c>
      <c r="L24" s="51" t="s">
        <v>376</v>
      </c>
      <c r="M24" s="51"/>
      <c r="N24" s="51"/>
      <c r="O24" s="51"/>
      <c r="P24" s="50"/>
      <c r="Q24" s="46">
        <v>95</v>
      </c>
      <c r="R24" s="52">
        <v>7832</v>
      </c>
      <c r="S24" s="52">
        <v>7854</v>
      </c>
      <c r="T24" s="50"/>
      <c r="U24" s="35"/>
      <c r="V24" s="35"/>
      <c r="W24" s="35"/>
      <c r="X24" s="35"/>
      <c r="Y24" s="35"/>
      <c r="Z24" s="35"/>
      <c r="AA24" s="35"/>
      <c r="AB24" s="35"/>
      <c r="AC24" s="35"/>
      <c r="AD24" s="35"/>
    </row>
    <row r="25" spans="1:30" ht="17.25" customHeight="1" x14ac:dyDescent="0.25">
      <c r="A25" s="239" t="s">
        <v>13</v>
      </c>
      <c r="B25" s="6" t="str">
        <f>+B14</f>
        <v>POSTE DE RETENCION DOBLE</v>
      </c>
      <c r="C25" s="7"/>
      <c r="D25" s="269" t="s">
        <v>367</v>
      </c>
      <c r="E25" s="10">
        <f t="shared" si="3"/>
        <v>1</v>
      </c>
      <c r="F25" s="19"/>
      <c r="H25" s="226">
        <f t="shared" si="2"/>
        <v>0</v>
      </c>
      <c r="I25" s="227">
        <f t="shared" si="1"/>
        <v>0</v>
      </c>
      <c r="K25" s="31">
        <v>1815</v>
      </c>
      <c r="L25" s="32" t="s">
        <v>377</v>
      </c>
      <c r="Q25" s="234"/>
      <c r="R25" s="234"/>
      <c r="S25" s="234"/>
    </row>
    <row r="26" spans="1:30" ht="17.25" customHeight="1" x14ac:dyDescent="0.25">
      <c r="A26" s="239" t="s">
        <v>13</v>
      </c>
      <c r="B26" s="6" t="str">
        <f>+B15</f>
        <v>POSTE DE DESVIO 6 A 45º</v>
      </c>
      <c r="C26" s="7"/>
      <c r="D26" s="269" t="str">
        <f>D23</f>
        <v xml:space="preserve">Po 11,50 R3100 </v>
      </c>
      <c r="E26" s="10">
        <f t="shared" si="3"/>
        <v>2</v>
      </c>
      <c r="F26" s="19"/>
      <c r="H26" s="226">
        <f t="shared" si="2"/>
        <v>0</v>
      </c>
      <c r="I26" s="227">
        <f t="shared" si="1"/>
        <v>0</v>
      </c>
      <c r="K26" s="31">
        <v>1082</v>
      </c>
      <c r="L26" s="32" t="s">
        <v>134</v>
      </c>
      <c r="Q26" s="44"/>
      <c r="R26" s="44">
        <v>33</v>
      </c>
      <c r="S26" s="45">
        <v>13.2</v>
      </c>
    </row>
    <row r="27" spans="1:30" ht="24" customHeight="1" x14ac:dyDescent="0.25">
      <c r="A27" s="239" t="s">
        <v>13</v>
      </c>
      <c r="B27" s="291" t="s">
        <v>16</v>
      </c>
      <c r="C27" s="291"/>
      <c r="D27" s="291"/>
      <c r="E27" s="8">
        <f>E8/E9</f>
        <v>16</v>
      </c>
      <c r="F27" s="18" t="s">
        <v>284</v>
      </c>
      <c r="G27" s="25" t="str">
        <f>IFERROR(VLOOKUP(A27,DATOS!$B$6:$F$301,4,0),"")</f>
        <v/>
      </c>
      <c r="H27" s="207" t="str">
        <f t="shared" si="0"/>
        <v/>
      </c>
      <c r="I27" s="208" t="str">
        <f t="shared" si="1"/>
        <v/>
      </c>
      <c r="K27" s="233">
        <v>1085</v>
      </c>
      <c r="L27" s="32" t="s">
        <v>136</v>
      </c>
      <c r="Q27" s="44">
        <v>25</v>
      </c>
      <c r="R27" s="49">
        <v>7860</v>
      </c>
      <c r="S27" s="49">
        <v>7840</v>
      </c>
    </row>
    <row r="28" spans="1:30" ht="24.75" customHeight="1" x14ac:dyDescent="0.25">
      <c r="A28" s="240">
        <f>IF($E$11=$P$7,IF($E$6=$N$2,DATOS!B14,IF($E$6=$N$3,DATOS!B16,"ERROR")),IF($E$6=$N$2,DATOS!B6,IF($E$6=$N$3,DATOS!B8,"ERROR")))</f>
        <v>235040</v>
      </c>
      <c r="B28" s="292" t="str">
        <f>VLOOKUP(A28,DATOS!$B$6:$C$18,2,0)</f>
        <v xml:space="preserve">Espaciador Polimérico Romboidal 13,2 KV.. </v>
      </c>
      <c r="C28" s="293"/>
      <c r="D28" s="294"/>
      <c r="E28" s="8">
        <f>E27*E16</f>
        <v>128</v>
      </c>
      <c r="F28" s="18" t="s">
        <v>274</v>
      </c>
      <c r="G28" s="25">
        <f>IFERROR(VLOOKUP(A28,DATOS!$B$6:$F$301,4,0),"")</f>
        <v>4.3756164000000011</v>
      </c>
      <c r="H28" s="207">
        <f>IFERROR(G28*(1+$I$18/100)/0.975,"")*1.1</f>
        <v>7.1580596492307711</v>
      </c>
      <c r="I28" s="208">
        <f t="shared" si="1"/>
        <v>916.2316351015387</v>
      </c>
      <c r="Q28" s="44">
        <v>35</v>
      </c>
      <c r="R28" s="49">
        <v>7861</v>
      </c>
      <c r="S28" s="49">
        <v>7841</v>
      </c>
    </row>
    <row r="29" spans="1:30" ht="28.5" customHeight="1" x14ac:dyDescent="0.25">
      <c r="A29" s="237">
        <f>+A28</f>
        <v>235040</v>
      </c>
      <c r="B29" s="295" t="str">
        <f>VLOOKUP(A29,DATOS!$B$6:$C$18,2,0)</f>
        <v xml:space="preserve">Espaciador Polimérico Romboidal 13,2 KV.. </v>
      </c>
      <c r="C29" s="296"/>
      <c r="D29" s="297"/>
      <c r="E29" s="8">
        <f>E22</f>
        <v>12</v>
      </c>
      <c r="F29" s="18" t="s">
        <v>17</v>
      </c>
      <c r="G29" s="25">
        <f>IFERROR(VLOOKUP(A29,DATOS!$B$6:$F$301,4,0),"")</f>
        <v>4.3756164000000011</v>
      </c>
      <c r="H29" s="207">
        <f>IFERROR(G29*(1+$I$18/100)/0.975,"")*1.1</f>
        <v>7.1580596492307711</v>
      </c>
      <c r="I29" s="208">
        <f t="shared" si="1"/>
        <v>85.89671579076925</v>
      </c>
      <c r="Q29" s="44">
        <v>50</v>
      </c>
      <c r="R29" s="49">
        <v>7862</v>
      </c>
      <c r="S29" s="49">
        <v>7842</v>
      </c>
    </row>
    <row r="30" spans="1:30" ht="28.5" customHeight="1" x14ac:dyDescent="0.25">
      <c r="A30" s="241">
        <f>+IF(E10=P2,DATOS!B196,DATOS!B199)</f>
        <v>235160</v>
      </c>
      <c r="B30" s="298" t="str">
        <f>VLOOKUP(A30,DATOS!$B$196:$C$199,2,0)</f>
        <v xml:space="preserve">Atadura p/ Fiador cable de Acero 6 mm MN 100  </v>
      </c>
      <c r="C30" s="298"/>
      <c r="D30" s="298"/>
      <c r="E30" s="17">
        <f>IF($E$11=$P$7,0,E28)</f>
        <v>128</v>
      </c>
      <c r="F30" s="18" t="s">
        <v>18</v>
      </c>
      <c r="G30" s="25">
        <f>IFERROR(VLOOKUP(A30,DATOS!$B$6:$F$301,4,0),"")</f>
        <v>1.2312000000000003</v>
      </c>
      <c r="H30" s="207">
        <f t="shared" si="0"/>
        <v>1.8310153846153852</v>
      </c>
      <c r="I30" s="208">
        <f t="shared" si="1"/>
        <v>234.3699692307693</v>
      </c>
      <c r="Q30" s="46">
        <v>70</v>
      </c>
      <c r="R30" s="49">
        <v>7863</v>
      </c>
      <c r="S30" s="49">
        <v>7843</v>
      </c>
    </row>
    <row r="31" spans="1:30" ht="34.5" customHeight="1" x14ac:dyDescent="0.25">
      <c r="A31" s="242">
        <f>IFERROR(INDEX(R9:S14,MATCH(Q7,Q9:Q14,0),MATCH(Q6,R8:S8,0)),"")</f>
        <v>235100</v>
      </c>
      <c r="B31" s="291" t="str">
        <f>VLOOKUP(A31,DATOS!$B$1:$C$500,2,0)</f>
        <v>Atadura p/Espaciador Cable Protegido 50 mm2 13,2 KV.</v>
      </c>
      <c r="C31" s="291"/>
      <c r="D31" s="291"/>
      <c r="E31" s="17">
        <f>IF($E$11=$P$7,0,E28*3+E29*3)</f>
        <v>420</v>
      </c>
      <c r="F31" s="18" t="s">
        <v>19</v>
      </c>
      <c r="G31" s="25">
        <f>IFERROR(VLOOKUP(A31,DATOS!$B$6:$F$301,4,0),"")</f>
        <v>1.22</v>
      </c>
      <c r="H31" s="207">
        <f t="shared" si="0"/>
        <v>1.8143589743589743</v>
      </c>
      <c r="I31" s="208">
        <f t="shared" si="1"/>
        <v>762.03076923076924</v>
      </c>
      <c r="Q31" s="46">
        <v>95</v>
      </c>
      <c r="R31" s="52">
        <v>7864</v>
      </c>
      <c r="S31" s="52">
        <v>7844</v>
      </c>
    </row>
    <row r="32" spans="1:30" ht="27" customHeight="1" x14ac:dyDescent="0.25">
      <c r="A32" s="243" t="str">
        <f>+DATOS!J65</f>
        <v>235173</v>
      </c>
      <c r="B32" s="291" t="str">
        <f>VLOOKUP(A32,DATOS!$B$1:$C$140,2,0)</f>
        <v>Anillo de Silicona p/ Espaciador</v>
      </c>
      <c r="C32" s="291"/>
      <c r="D32" s="291"/>
      <c r="E32" s="17">
        <f>IF($E$11=$P$7,0,E22)</f>
        <v>12</v>
      </c>
      <c r="F32" s="18" t="s">
        <v>20</v>
      </c>
      <c r="G32" s="25">
        <f>IFERROR(VLOOKUP(A32,DATOS!$B$6:$F$301,4,0),"")</f>
        <v>1.4464548000000002</v>
      </c>
      <c r="H32" s="207">
        <f t="shared" si="0"/>
        <v>2.1511379076923078</v>
      </c>
      <c r="I32" s="208">
        <f t="shared" si="1"/>
        <v>25.813654892307696</v>
      </c>
      <c r="Q32" s="234"/>
      <c r="R32" s="234"/>
      <c r="S32" s="234"/>
    </row>
    <row r="33" spans="1:30" ht="24" customHeight="1" x14ac:dyDescent="0.25">
      <c r="A33" s="242">
        <v>401120</v>
      </c>
      <c r="B33" s="291" t="s">
        <v>276</v>
      </c>
      <c r="C33" s="291"/>
      <c r="D33" s="291"/>
      <c r="E33" s="8">
        <f>E22*3</f>
        <v>36</v>
      </c>
      <c r="F33" s="18" t="s">
        <v>21</v>
      </c>
      <c r="G33" s="25">
        <f>IFERROR(VLOOKUP(A33,DATOS!$B$6:$F$301,4,0),"")</f>
        <v>3.4420000000000002</v>
      </c>
      <c r="H33" s="207">
        <f t="shared" si="0"/>
        <v>5.1188717948717946</v>
      </c>
      <c r="I33" s="208">
        <f t="shared" si="1"/>
        <v>184.2793846153846</v>
      </c>
    </row>
    <row r="34" spans="1:30" x14ac:dyDescent="0.25">
      <c r="A34" s="242">
        <v>204800</v>
      </c>
      <c r="B34" s="291" t="s">
        <v>275</v>
      </c>
      <c r="C34" s="291"/>
      <c r="D34" s="291"/>
      <c r="E34" s="8">
        <f>E33</f>
        <v>36</v>
      </c>
      <c r="F34" s="18" t="s">
        <v>22</v>
      </c>
      <c r="G34" s="25">
        <f>IFERROR(VLOOKUP(A34,DATOS!$B$6:$F$301,4,0),"")</f>
        <v>0.45</v>
      </c>
      <c r="H34" s="207">
        <f t="shared" si="0"/>
        <v>0.66923076923076918</v>
      </c>
      <c r="I34" s="208">
        <f t="shared" si="1"/>
        <v>24.092307692307692</v>
      </c>
    </row>
    <row r="35" spans="1:30" x14ac:dyDescent="0.25">
      <c r="A35" s="242">
        <v>206000</v>
      </c>
      <c r="B35" s="291" t="s">
        <v>23</v>
      </c>
      <c r="C35" s="291"/>
      <c r="D35" s="291"/>
      <c r="E35" s="8">
        <f>E33*2</f>
        <v>72</v>
      </c>
      <c r="F35" s="18" t="s">
        <v>24</v>
      </c>
      <c r="G35" s="25">
        <f>IFERROR(VLOOKUP(A35,DATOS!$B$6:$F$301,4,0),"")</f>
        <v>0.505</v>
      </c>
      <c r="H35" s="207">
        <f t="shared" si="0"/>
        <v>0.75102564102564096</v>
      </c>
      <c r="I35" s="208">
        <f t="shared" si="1"/>
        <v>54.073846153846148</v>
      </c>
    </row>
    <row r="36" spans="1:30" x14ac:dyDescent="0.25">
      <c r="A36" s="244">
        <f>+IF($E$6=$N$2,DATOS!B21,IF($E$6=$N$3,DATOS!B22,"ERROR"))</f>
        <v>235030</v>
      </c>
      <c r="B36" s="291" t="str">
        <f>VLOOKUP(A36,DATOS!$B$21:$C$24,2,0)</f>
        <v>Ménsula de Suspensión de Hierro P/ 13,2 KV. C/ Estribo Móvil</v>
      </c>
      <c r="C36" s="291"/>
      <c r="D36" s="291"/>
      <c r="E36" s="8">
        <f>E22</f>
        <v>12</v>
      </c>
      <c r="F36" s="18" t="s">
        <v>25</v>
      </c>
      <c r="G36" s="25">
        <f>IFERROR(VLOOKUP(A36,DATOS!$B$6:$F$301,4,0),"")</f>
        <v>30.15586368</v>
      </c>
      <c r="H36" s="207">
        <f t="shared" si="0"/>
        <v>44.847181883076928</v>
      </c>
      <c r="I36" s="208">
        <f t="shared" si="1"/>
        <v>538.16618259692314</v>
      </c>
    </row>
    <row r="37" spans="1:30" x14ac:dyDescent="0.25">
      <c r="A37" s="244">
        <f>+IF($E$6=$N$2,DATOS!B7,IF($E$6=$N$3,DATOS!B9,"ERROR"))</f>
        <v>235041</v>
      </c>
      <c r="B37" s="291" t="str">
        <f>VLOOKUP(A37,DATOS!$B$6:$C$10,2,0)</f>
        <v>Brazo Antibalanceo 13,2 KV. P/ Espaciador</v>
      </c>
      <c r="C37" s="291"/>
      <c r="D37" s="291"/>
      <c r="E37" s="8">
        <f>E22</f>
        <v>12</v>
      </c>
      <c r="F37" s="18" t="s">
        <v>25</v>
      </c>
      <c r="G37" s="25">
        <f>IFERROR(VLOOKUP(A37,DATOS!$B$6:$F$301,4,0),"")</f>
        <v>3.0959208</v>
      </c>
      <c r="H37" s="207">
        <f>IFERROR(G37*(1+$I$18/100)/0.975,"")*2.235</f>
        <v>10.290364443692308</v>
      </c>
      <c r="I37" s="208">
        <f t="shared" si="1"/>
        <v>123.4843733243077</v>
      </c>
    </row>
    <row r="38" spans="1:30" x14ac:dyDescent="0.25">
      <c r="A38" s="244">
        <v>7755</v>
      </c>
      <c r="B38" s="291" t="str">
        <f>VLOOKUP(A38,DATOS!B86:D92,2,0)</f>
        <v>Mensula de Soporte p/ Brazo Antibalanceo Herraje de Fijación</v>
      </c>
      <c r="C38" s="291"/>
      <c r="D38" s="291"/>
      <c r="E38" s="8">
        <f>E22</f>
        <v>12</v>
      </c>
      <c r="F38" s="18" t="s">
        <v>373</v>
      </c>
      <c r="G38" s="25">
        <f>IFERROR(VLOOKUP(A38,DATOS!$B$6:$F$301,4,0),"")</f>
        <v>3.7723831200000006</v>
      </c>
      <c r="H38" s="207">
        <f t="shared" ref="H38" si="4">IFERROR(G38*(1+$I$18/100)/0.975,"")</f>
        <v>5.6102107938461545</v>
      </c>
      <c r="I38" s="208">
        <f t="shared" ref="I38" si="5">IFERROR(H38*E38,"")</f>
        <v>67.322529526153858</v>
      </c>
    </row>
    <row r="39" spans="1:30" x14ac:dyDescent="0.25">
      <c r="A39" s="245">
        <v>401157</v>
      </c>
      <c r="B39" s="219" t="s">
        <v>26</v>
      </c>
      <c r="C39" s="219"/>
      <c r="D39" s="219"/>
      <c r="E39" s="11">
        <f>(E12+E13)*3+E14*1+E15*2</f>
        <v>11</v>
      </c>
      <c r="F39" s="20" t="s">
        <v>386</v>
      </c>
      <c r="G39" s="25">
        <f>IFERROR(VLOOKUP(A39,DATOS!$B$6:$F$301,4,0),"")</f>
        <v>4.4950000000000001</v>
      </c>
      <c r="H39" s="207">
        <f t="shared" si="0"/>
        <v>6.6848717948717953</v>
      </c>
      <c r="I39" s="208">
        <f t="shared" si="1"/>
        <v>73.533589743589744</v>
      </c>
    </row>
    <row r="40" spans="1:30" ht="24.75" customHeight="1" x14ac:dyDescent="0.25">
      <c r="A40" s="245">
        <v>407350</v>
      </c>
      <c r="B40" s="232" t="str">
        <f>VLOOKUP(A40,DATOS!$B$279:$E$299,2,0)</f>
        <v>ABRAZADERA DE Ø 350 C/ 2 ESCOTE P/RETENCIONES</v>
      </c>
      <c r="C40" s="232"/>
      <c r="D40" s="232"/>
      <c r="E40" s="11">
        <f>+E14*4+E15</f>
        <v>6</v>
      </c>
      <c r="F40" s="20" t="s">
        <v>387</v>
      </c>
      <c r="G40" s="25">
        <f>IFERROR(VLOOKUP(A40,DATOS!$B$6:$F$301,4,0),"")</f>
        <v>5.5540000000000003</v>
      </c>
      <c r="H40" s="207">
        <f t="shared" ref="H40" si="6">IFERROR(G40*(1+$I$18/100)/0.975,"")</f>
        <v>8.2597948717948722</v>
      </c>
      <c r="I40" s="208">
        <f t="shared" ref="I40" si="7">IFERROR(H40*E40,"")</f>
        <v>49.558769230769229</v>
      </c>
    </row>
    <row r="41" spans="1:30" ht="16.5" customHeight="1" x14ac:dyDescent="0.25">
      <c r="A41" s="245">
        <v>206000</v>
      </c>
      <c r="B41" s="304" t="s">
        <v>27</v>
      </c>
      <c r="C41" s="304"/>
      <c r="D41" s="304"/>
      <c r="E41" s="11">
        <f>(E39+E40)*2</f>
        <v>34</v>
      </c>
      <c r="F41" s="20" t="s">
        <v>28</v>
      </c>
      <c r="G41" s="25">
        <f>IFERROR(VLOOKUP(A41,DATOS!$B$6:$F$301,4,0),"")</f>
        <v>0.505</v>
      </c>
      <c r="H41" s="207">
        <f t="shared" si="0"/>
        <v>0.75102564102564096</v>
      </c>
      <c r="I41" s="208">
        <f t="shared" si="1"/>
        <v>25.534871794871794</v>
      </c>
    </row>
    <row r="42" spans="1:30" s="24" customFormat="1" x14ac:dyDescent="0.25">
      <c r="A42" s="245">
        <v>204800</v>
      </c>
      <c r="B42" s="304" t="s">
        <v>29</v>
      </c>
      <c r="C42" s="304"/>
      <c r="D42" s="304"/>
      <c r="E42" s="11">
        <f>E39+E40*2</f>
        <v>23</v>
      </c>
      <c r="F42" s="20" t="s">
        <v>388</v>
      </c>
      <c r="G42" s="25">
        <f>IFERROR(VLOOKUP(A42,DATOS!$B$6:$F$301,4,0),"")</f>
        <v>0.45</v>
      </c>
      <c r="H42" s="207">
        <f t="shared" si="0"/>
        <v>0.66923076923076918</v>
      </c>
      <c r="I42" s="208">
        <f t="shared" si="1"/>
        <v>15.392307692307691</v>
      </c>
      <c r="J42" s="30"/>
      <c r="K42" s="31"/>
      <c r="L42" s="32"/>
      <c r="M42" s="32"/>
      <c r="N42" s="32"/>
      <c r="O42" s="32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</row>
    <row r="43" spans="1:30" s="24" customFormat="1" ht="21.75" customHeight="1" x14ac:dyDescent="0.25">
      <c r="A43" s="246">
        <v>235021</v>
      </c>
      <c r="B43" s="21" t="s">
        <v>30</v>
      </c>
      <c r="C43" s="21"/>
      <c r="D43" s="21"/>
      <c r="E43" s="22">
        <f>E12+E13+E14*2</f>
        <v>4</v>
      </c>
      <c r="F43" s="23" t="s">
        <v>389</v>
      </c>
      <c r="G43" s="25">
        <f>IFERROR(VLOOKUP(A43,DATOS!$B$6:$F$301,4,0),"")</f>
        <v>23.867000000000001</v>
      </c>
      <c r="H43" s="207">
        <f t="shared" si="0"/>
        <v>35.494512820512817</v>
      </c>
      <c r="I43" s="208">
        <f t="shared" si="1"/>
        <v>141.97805128205127</v>
      </c>
      <c r="J43" s="30"/>
      <c r="K43" s="31"/>
      <c r="L43" s="32"/>
      <c r="M43" s="32"/>
      <c r="N43" s="32"/>
      <c r="O43" s="32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</row>
    <row r="44" spans="1:30" s="24" customFormat="1" x14ac:dyDescent="0.25">
      <c r="A44" s="246">
        <v>7700</v>
      </c>
      <c r="B44" s="21" t="s">
        <v>143</v>
      </c>
      <c r="C44" s="21"/>
      <c r="D44" s="21"/>
      <c r="E44" s="22">
        <f>E15</f>
        <v>2</v>
      </c>
      <c r="F44" s="23" t="s">
        <v>375</v>
      </c>
      <c r="G44" s="25">
        <f>IFERROR(VLOOKUP(A44,DATOS!$B$6:$F$301,4,0),"")</f>
        <v>19.109879280000001</v>
      </c>
      <c r="H44" s="207">
        <f t="shared" ref="H44" si="8">IFERROR(G44*(1+$I$18/100)/0.975,"")</f>
        <v>28.419820467692308</v>
      </c>
      <c r="I44" s="208">
        <f t="shared" ref="I44" si="9">IFERROR(H44*E44,"")</f>
        <v>56.839640935384615</v>
      </c>
      <c r="J44" s="30"/>
      <c r="K44" s="31"/>
      <c r="L44" s="32"/>
      <c r="M44" s="32"/>
      <c r="N44" s="32"/>
      <c r="O44" s="32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</row>
    <row r="45" spans="1:30" s="24" customFormat="1" x14ac:dyDescent="0.25">
      <c r="A45" s="246">
        <f>+IF($E$6=13.2,K24,IF($E$6=33,K25,"ERROPE"))</f>
        <v>1814</v>
      </c>
      <c r="B45" s="21" t="str">
        <f>VLOOKUP(A45,$K$18:$O$31,2,0)</f>
        <v xml:space="preserve"> MN 411 Recto P/13,2 KV CAB, Plastico Largo 80 MM</v>
      </c>
      <c r="C45" s="21"/>
      <c r="D45" s="21"/>
      <c r="E45" s="22">
        <f>+E25*3+E26*3</f>
        <v>9</v>
      </c>
      <c r="F45" s="23" t="s">
        <v>379</v>
      </c>
      <c r="G45" s="25">
        <f>IFERROR(VLOOKUP(A45,DATOS!$B$6:$F$301,4,0),"")</f>
        <v>5.0665795200000003</v>
      </c>
      <c r="H45" s="207">
        <f t="shared" ref="H45:H48" si="10">IFERROR(G45*(1+$I$18/100)/0.975,"")</f>
        <v>7.5349131323076932</v>
      </c>
      <c r="I45" s="208">
        <f t="shared" ref="I45:I48" si="11">IFERROR(H45*E45,"")</f>
        <v>67.814218190769239</v>
      </c>
      <c r="J45" s="30"/>
      <c r="K45" s="31"/>
      <c r="L45" s="32"/>
      <c r="M45" s="32"/>
      <c r="N45" s="32"/>
      <c r="O45" s="32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</row>
    <row r="46" spans="1:30" s="24" customFormat="1" x14ac:dyDescent="0.25">
      <c r="A46" s="246">
        <f>+IF($E$6=13.2,K26,IF($E$6=33,K27,"ERROPE"))</f>
        <v>1082</v>
      </c>
      <c r="B46" s="21" t="str">
        <f>VLOOKUP(A46,$K$18:$O$31,2,0)</f>
        <v>Aislador Organico PRT p/ Perno Fijo 13,2 KV.</v>
      </c>
      <c r="C46" s="21"/>
      <c r="D46" s="21"/>
      <c r="E46" s="22">
        <f>+E25*3+E26*3</f>
        <v>9</v>
      </c>
      <c r="F46" s="23" t="s">
        <v>380</v>
      </c>
      <c r="G46" s="25">
        <f>IFERROR(VLOOKUP(A46,DATOS!$B$6:$F$301,4,0),"")</f>
        <v>7.2199483200000012</v>
      </c>
      <c r="H46" s="207">
        <f t="shared" si="10"/>
        <v>10.737359040000003</v>
      </c>
      <c r="I46" s="208">
        <f t="shared" si="11"/>
        <v>96.636231360000025</v>
      </c>
      <c r="J46" s="30"/>
      <c r="K46" s="31"/>
      <c r="L46" s="32"/>
      <c r="M46" s="32"/>
      <c r="N46" s="32"/>
      <c r="O46" s="32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1:30" s="24" customFormat="1" x14ac:dyDescent="0.25">
      <c r="A47" s="246">
        <v>232240</v>
      </c>
      <c r="B47" s="21" t="s">
        <v>39</v>
      </c>
      <c r="C47" s="21"/>
      <c r="D47" s="21"/>
      <c r="E47" s="22">
        <f>E43*3</f>
        <v>12</v>
      </c>
      <c r="F47" s="23" t="s">
        <v>31</v>
      </c>
      <c r="G47" s="25">
        <f>IFERROR(VLOOKUP(A47,DATOS!$B$6:$F$301,4,0),"")</f>
        <v>2.3079999999999998</v>
      </c>
      <c r="H47" s="207">
        <f t="shared" si="10"/>
        <v>3.4324102564102561</v>
      </c>
      <c r="I47" s="208">
        <f t="shared" si="11"/>
        <v>41.188923076923075</v>
      </c>
      <c r="J47" s="30"/>
      <c r="K47" s="31"/>
      <c r="L47" s="32"/>
      <c r="M47" s="32"/>
      <c r="N47" s="32"/>
      <c r="O47" s="32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</row>
    <row r="48" spans="1:30" s="24" customFormat="1" x14ac:dyDescent="0.25">
      <c r="A48" s="246">
        <f>+IF($E$6=13.2,K18,IF($E$6=33,K19,"ERROPE"))</f>
        <v>111311</v>
      </c>
      <c r="B48" s="21" t="str">
        <f>VLOOKUP(A48,$K$18:$M$19,2,0)</f>
        <v>OMN11-APDsH 15/70-AISL RET.ORG.HORQUILLA FAPA</v>
      </c>
      <c r="C48" s="21"/>
      <c r="D48" s="21"/>
      <c r="E48" s="22">
        <f>E43*3</f>
        <v>12</v>
      </c>
      <c r="F48" s="23" t="s">
        <v>33</v>
      </c>
      <c r="G48" s="25">
        <f>IFERROR(VLOOKUP(A48,DATOS!$B$6:$F$3010,4,0),"")</f>
        <v>12.632</v>
      </c>
      <c r="H48" s="207">
        <f t="shared" si="10"/>
        <v>18.786051282051279</v>
      </c>
      <c r="I48" s="208">
        <f t="shared" si="11"/>
        <v>225.43261538461536</v>
      </c>
      <c r="J48" s="30"/>
      <c r="K48" s="31"/>
      <c r="L48" s="32"/>
      <c r="M48" s="32"/>
      <c r="N48" s="32"/>
      <c r="O48" s="32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</row>
    <row r="49" spans="1:31" s="24" customFormat="1" ht="14.25" customHeight="1" x14ac:dyDescent="0.25">
      <c r="A49" s="235">
        <f>IFERROR(INDEX(R20:S24,MATCH(Q18,Q20:Q24,0),MATCH(Q17,R19:S19,0)),"")</f>
        <v>235152</v>
      </c>
      <c r="B49" s="305" t="str">
        <f>VLOOKUP(A49,DATOS!$B$6:$F$300,2,0)</f>
        <v>Atadura de Al. p/50 mm 13,2 KV. Preformada c/ Antideslizante</v>
      </c>
      <c r="C49" s="305"/>
      <c r="D49" s="305"/>
      <c r="E49" s="22">
        <f>E48</f>
        <v>12</v>
      </c>
      <c r="F49" s="23" t="s">
        <v>33</v>
      </c>
      <c r="G49" s="25">
        <f>IFERROR(VLOOKUP(A49,DATOS!$B$6:$F$301,4,0),"")</f>
        <v>5.7326040000000003</v>
      </c>
      <c r="H49" s="207">
        <f t="shared" si="0"/>
        <v>8.5254110769230778</v>
      </c>
      <c r="I49" s="208">
        <f t="shared" si="1"/>
        <v>102.30493292307693</v>
      </c>
      <c r="J49" s="30"/>
      <c r="K49" s="31"/>
      <c r="L49" s="32"/>
      <c r="M49" s="32"/>
      <c r="N49" s="32"/>
      <c r="O49" s="32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</row>
    <row r="50" spans="1:31" s="24" customFormat="1" ht="14.25" customHeight="1" x14ac:dyDescent="0.25">
      <c r="A50" s="235">
        <f>IFERROR(INDEX(R27:S31,MATCH(Q18,Q27:Q31,0),MATCH(Q17,R26:S26,0)),"")</f>
        <v>7842</v>
      </c>
      <c r="B50" s="305" t="str">
        <f>VLOOKUP(A50,DATOS!$B$1:$C$2801,2,0)</f>
        <v>Atadura Lateral Tipo V p/Aislador Diam. 55 cable 50 mm2</v>
      </c>
      <c r="C50" s="305"/>
      <c r="D50" s="305"/>
      <c r="E50" s="22">
        <f>+E25*3+E26*3</f>
        <v>9</v>
      </c>
      <c r="F50" s="23" t="s">
        <v>378</v>
      </c>
      <c r="G50" s="25">
        <f>IFERROR(VLOOKUP(A50,DATOS!$B$6:$F$301,4,0),"")</f>
        <v>1.4152780799999998</v>
      </c>
      <c r="H50" s="207"/>
      <c r="I50" s="208"/>
      <c r="J50" s="30"/>
      <c r="K50" s="31"/>
      <c r="L50" s="32"/>
      <c r="M50" s="32"/>
      <c r="N50" s="32"/>
      <c r="O50" s="32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1:31" s="24" customFormat="1" ht="24.75" customHeight="1" x14ac:dyDescent="0.25">
      <c r="A51" s="235">
        <v>233800</v>
      </c>
      <c r="B51" s="299" t="s">
        <v>289</v>
      </c>
      <c r="C51" s="300"/>
      <c r="D51" s="301"/>
      <c r="E51" s="22">
        <f>+E23+E24+E25*2+E26*2</f>
        <v>8</v>
      </c>
      <c r="F51" s="23" t="s">
        <v>383</v>
      </c>
      <c r="G51" s="25">
        <f>IFERROR(VLOOKUP(A51,DATOS!$B$6:$F$301,4,0),"")</f>
        <v>1.6</v>
      </c>
      <c r="H51" s="207">
        <f t="shared" si="0"/>
        <v>2.3794871794871795</v>
      </c>
      <c r="I51" s="208">
        <f t="shared" si="1"/>
        <v>19.035897435897436</v>
      </c>
      <c r="J51" s="30"/>
      <c r="K51" s="31"/>
      <c r="L51" s="32"/>
      <c r="M51" s="32"/>
      <c r="N51" s="32"/>
      <c r="O51" s="32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</row>
    <row r="52" spans="1:31" s="24" customFormat="1" ht="24.75" customHeight="1" x14ac:dyDescent="0.25">
      <c r="A52" s="235">
        <v>232150</v>
      </c>
      <c r="B52" s="248"/>
      <c r="C52" s="249"/>
      <c r="D52" s="250"/>
      <c r="E52" s="22">
        <f>E51</f>
        <v>8</v>
      </c>
      <c r="F52" s="23" t="s">
        <v>385</v>
      </c>
      <c r="G52" s="25"/>
      <c r="H52" s="207"/>
      <c r="I52" s="208"/>
      <c r="J52" s="30"/>
      <c r="K52" s="31"/>
      <c r="L52" s="32"/>
      <c r="M52" s="32"/>
      <c r="N52" s="32"/>
      <c r="O52" s="32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</row>
    <row r="53" spans="1:31" s="24" customFormat="1" ht="24" customHeight="1" x14ac:dyDescent="0.25">
      <c r="A53" s="235">
        <v>235060</v>
      </c>
      <c r="B53" s="299" t="s">
        <v>277</v>
      </c>
      <c r="C53" s="300"/>
      <c r="D53" s="301"/>
      <c r="E53" s="22">
        <f>E48</f>
        <v>12</v>
      </c>
      <c r="F53" s="23" t="s">
        <v>384</v>
      </c>
      <c r="G53" s="25">
        <f>IFERROR(VLOOKUP(A53,DATOS!$B$6:$F$301,4,0),"")</f>
        <v>1.93</v>
      </c>
      <c r="H53" s="207">
        <f t="shared" si="0"/>
        <v>2.8702564102564101</v>
      </c>
      <c r="I53" s="208">
        <f t="shared" si="1"/>
        <v>34.443076923076923</v>
      </c>
      <c r="J53" s="30"/>
      <c r="K53" s="31"/>
      <c r="L53" s="32"/>
      <c r="M53" s="32"/>
      <c r="N53" s="32"/>
      <c r="O53" s="32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</row>
    <row r="54" spans="1:31" s="24" customFormat="1" ht="14.25" customHeight="1" x14ac:dyDescent="0.25">
      <c r="A54" s="235">
        <f>+IF(E10=P2,Q2,Q3)</f>
        <v>231910</v>
      </c>
      <c r="B54" s="299" t="str">
        <f>VLOOKUP(A54,Q2:R3,2,0)</f>
        <v>MN191 GRAMPA RET.100X400 3 BUYL</v>
      </c>
      <c r="C54" s="300"/>
      <c r="D54" s="301"/>
      <c r="E54" s="22">
        <f>+E43+E26*2</f>
        <v>8</v>
      </c>
      <c r="F54" s="23" t="s">
        <v>385</v>
      </c>
      <c r="G54" s="25" t="str">
        <f>IFERROR(VLOOKUP(A54,DATOS!$B$6:$F$301,4,0),"")</f>
        <v/>
      </c>
      <c r="H54" s="207" t="str">
        <f t="shared" si="0"/>
        <v/>
      </c>
      <c r="I54" s="208" t="str">
        <f t="shared" si="1"/>
        <v/>
      </c>
      <c r="J54" s="30"/>
      <c r="K54" s="31"/>
      <c r="L54" s="32"/>
      <c r="M54" s="32"/>
      <c r="N54" s="32"/>
      <c r="O54" s="32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1" x14ac:dyDescent="0.25">
      <c r="A55" s="247">
        <f>+IF($E$10=$P$2,K21,K20)</f>
        <v>641400</v>
      </c>
      <c r="B55" s="299" t="str">
        <f>VLOOKUP(A55,K20:L21,2,0)</f>
        <v>RR TOR MN 100  RETENCION S/ AISLADOR Y ANCLAJE</v>
      </c>
      <c r="C55" s="300"/>
      <c r="D55" s="301"/>
      <c r="E55" s="22">
        <f>E51</f>
        <v>8</v>
      </c>
      <c r="F55" s="23" t="s">
        <v>385</v>
      </c>
      <c r="G55" s="25" t="str">
        <f>IFERROR(VLOOKUP(A55,DATOS!$B$6:$F$301,4,0),"")</f>
        <v/>
      </c>
      <c r="H55" s="207" t="str">
        <f t="shared" si="0"/>
        <v/>
      </c>
      <c r="I55" s="208" t="str">
        <f t="shared" si="1"/>
        <v/>
      </c>
    </row>
    <row r="56" spans="1:31" ht="34.9" customHeight="1" x14ac:dyDescent="0.25">
      <c r="A56" s="236">
        <v>236000</v>
      </c>
      <c r="B56" s="302" t="s">
        <v>35</v>
      </c>
      <c r="C56" s="302"/>
      <c r="D56" s="302"/>
      <c r="E56" s="8">
        <f>(E12+E13)*3</f>
        <v>6</v>
      </c>
      <c r="F56" s="18" t="s">
        <v>36</v>
      </c>
      <c r="G56" s="25">
        <f>IFERROR(VLOOKUP(A56,DATOS!$B$6:$F$301,4,0),"")</f>
        <v>6.0960000000000001</v>
      </c>
      <c r="H56" s="207">
        <f t="shared" si="0"/>
        <v>9.0658461538461541</v>
      </c>
      <c r="I56" s="208">
        <f t="shared" si="1"/>
        <v>54.395076923076928</v>
      </c>
    </row>
    <row r="57" spans="1:31" ht="22.5" x14ac:dyDescent="0.25">
      <c r="A57" s="237">
        <v>236005</v>
      </c>
      <c r="B57" s="303" t="s">
        <v>38</v>
      </c>
      <c r="C57" s="303"/>
      <c r="D57" s="303"/>
      <c r="E57" s="8">
        <f>E56</f>
        <v>6</v>
      </c>
      <c r="F57" s="18" t="s">
        <v>36</v>
      </c>
      <c r="G57" s="25">
        <f>IFERROR(VLOOKUP(A57,DATOS!$B$6:$F$301,4,0),"")</f>
        <v>12.099</v>
      </c>
      <c r="H57" s="207">
        <f t="shared" si="0"/>
        <v>17.993384615384617</v>
      </c>
      <c r="I57" s="208">
        <f t="shared" si="1"/>
        <v>107.96030769230771</v>
      </c>
    </row>
    <row r="58" spans="1:31" s="30" customFormat="1" x14ac:dyDescent="0.25">
      <c r="A58" s="210"/>
      <c r="B58" s="1"/>
      <c r="C58" s="2"/>
      <c r="D58" s="2"/>
      <c r="E58" s="9"/>
      <c r="F58" s="3"/>
      <c r="G58" s="25"/>
      <c r="H58" s="205"/>
      <c r="I58" s="205"/>
      <c r="K58" s="31"/>
      <c r="L58" s="32"/>
      <c r="M58" s="32"/>
      <c r="N58" s="32"/>
      <c r="O58" s="32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210"/>
    </row>
    <row r="59" spans="1:31" s="30" customFormat="1" ht="21.6" customHeight="1" x14ac:dyDescent="0.25">
      <c r="A59" s="210"/>
      <c r="B59" s="1"/>
      <c r="C59" s="2"/>
      <c r="D59" s="2"/>
      <c r="E59" s="210"/>
      <c r="F59" s="320" t="s">
        <v>293</v>
      </c>
      <c r="G59" s="29"/>
      <c r="H59" s="209"/>
      <c r="I59" s="209">
        <f>SUM(I20:I57)</f>
        <v>12127.883724897642</v>
      </c>
      <c r="K59" s="31"/>
      <c r="L59" s="32"/>
      <c r="M59" s="32"/>
      <c r="N59" s="32"/>
      <c r="O59" s="32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210"/>
    </row>
  </sheetData>
  <sheetProtection algorithmName="SHA-512" hashValue="EFBhDsvBBGwj5AVDu64JPtOAeMWahb57rZfZOOBkWwgEjzP63aJP5CxL70GGUMpdntfK4RHm0XZOfIx9n/nkVQ==" saltValue="kR80YgSDFr3qH12hYG9aYw==" spinCount="100000" sheet="1" selectLockedCells="1"/>
  <mergeCells count="36">
    <mergeCell ref="B55:D55"/>
    <mergeCell ref="B56:D56"/>
    <mergeCell ref="B57:D57"/>
    <mergeCell ref="B38:D38"/>
    <mergeCell ref="B41:D41"/>
    <mergeCell ref="B42:D42"/>
    <mergeCell ref="B49:D49"/>
    <mergeCell ref="B51:D51"/>
    <mergeCell ref="B53:D53"/>
    <mergeCell ref="B54:D54"/>
    <mergeCell ref="B50:D50"/>
    <mergeCell ref="B37:D37"/>
    <mergeCell ref="B21:D21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20:D20"/>
    <mergeCell ref="A1:I1"/>
    <mergeCell ref="H4:I5"/>
    <mergeCell ref="B5:D5"/>
    <mergeCell ref="B6:D6"/>
    <mergeCell ref="B7:D7"/>
    <mergeCell ref="B8:D8"/>
    <mergeCell ref="B9:D9"/>
    <mergeCell ref="B10:D10"/>
    <mergeCell ref="B16:D16"/>
    <mergeCell ref="A18:H18"/>
    <mergeCell ref="B19:D19"/>
    <mergeCell ref="D12:D15"/>
  </mergeCells>
  <dataValidations count="6">
    <dataValidation type="list" allowBlank="1" showInputMessage="1" showErrorMessage="1" sqref="E11">
      <formula1>$P$6:$P$7</formula1>
    </dataValidation>
    <dataValidation type="list" allowBlank="1" showInputMessage="1" showErrorMessage="1" sqref="E10">
      <formula1>$P$2:$P$3</formula1>
    </dataValidation>
    <dataValidation type="list" allowBlank="1" showInputMessage="1" showErrorMessage="1" sqref="E7">
      <formula1>$O$2:$O$5</formula1>
    </dataValidation>
    <dataValidation type="list" allowBlank="1" showInputMessage="1" showErrorMessage="1" sqref="E6">
      <formula1>$N$2:$N$3</formula1>
    </dataValidation>
    <dataValidation type="list" allowBlank="1" showInputMessage="1" showErrorMessage="1" sqref="E9">
      <formula1>$M$2:$M$4</formula1>
    </dataValidation>
    <dataValidation type="list" allowBlank="1" showInputMessage="1" showErrorMessage="1" sqref="E8">
      <formula1>$L$2:$L$12</formula1>
    </dataValidation>
  </dataValidations>
  <printOptions headings="1"/>
  <pageMargins left="0.23622047244094491" right="0.23622047244094491" top="1.3385826771653544" bottom="0.74803149606299213" header="0.31496062992125984" footer="0.31496062992125984"/>
  <pageSetup paperSize="9" scale="80" orientation="portrait" r:id="rId1"/>
  <headerFooter alignWithMargins="0">
    <oddHeader>&amp;C&amp;G</oddHeader>
    <oddFooter>&amp;Lcontacto@hpelectricidad.com.ar&amp;RTEL (0358)  463-7926/ 462-2374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301"/>
  <sheetViews>
    <sheetView workbookViewId="0">
      <selection activeCell="D309" sqref="D308:D309"/>
    </sheetView>
  </sheetViews>
  <sheetFormatPr baseColWidth="10" defaultColWidth="11.42578125" defaultRowHeight="15" x14ac:dyDescent="0.25"/>
  <cols>
    <col min="1" max="1" width="4" style="55" customWidth="1"/>
    <col min="2" max="2" width="9.28515625" style="55" customWidth="1"/>
    <col min="3" max="3" width="42.140625" style="55" customWidth="1"/>
    <col min="4" max="4" width="11.42578125" style="55" customWidth="1"/>
    <col min="5" max="5" width="11.42578125" style="56" customWidth="1"/>
    <col min="6" max="6" width="8" style="55" customWidth="1"/>
    <col min="7" max="7" width="11.42578125" style="55" customWidth="1"/>
    <col min="8" max="8" width="43.5703125" style="55" customWidth="1"/>
    <col min="9" max="14" width="11.42578125" style="55" customWidth="1"/>
    <col min="15" max="16384" width="11.42578125" style="13"/>
  </cols>
  <sheetData>
    <row r="1" spans="1:10" ht="15.75" thickBot="1" x14ac:dyDescent="0.3"/>
    <row r="2" spans="1:10" x14ac:dyDescent="0.25">
      <c r="A2" s="57"/>
      <c r="B2" s="58" t="s">
        <v>44</v>
      </c>
      <c r="C2" s="59" t="s">
        <v>45</v>
      </c>
      <c r="D2" s="59" t="s">
        <v>46</v>
      </c>
      <c r="E2" s="60" t="s">
        <v>47</v>
      </c>
      <c r="F2" s="59" t="s">
        <v>48</v>
      </c>
    </row>
    <row r="3" spans="1:10" x14ac:dyDescent="0.25">
      <c r="A3" s="57"/>
      <c r="B3" s="61"/>
      <c r="C3" s="57"/>
      <c r="D3" s="57"/>
      <c r="E3" s="62"/>
      <c r="F3" s="63"/>
    </row>
    <row r="4" spans="1:10" ht="15.75" x14ac:dyDescent="0.25">
      <c r="A4" s="57"/>
      <c r="B4" s="309" t="s">
        <v>49</v>
      </c>
      <c r="C4" s="309"/>
      <c r="D4" s="309"/>
      <c r="E4" s="309"/>
      <c r="F4" s="309"/>
    </row>
    <row r="5" spans="1:10" ht="15.75" thickBot="1" x14ac:dyDescent="0.3">
      <c r="A5" s="57"/>
      <c r="B5" s="310"/>
      <c r="C5" s="310"/>
      <c r="D5" s="57"/>
      <c r="E5" s="62"/>
      <c r="F5" s="63"/>
    </row>
    <row r="6" spans="1:10" x14ac:dyDescent="0.25">
      <c r="A6" s="57"/>
      <c r="B6" s="64">
        <v>235040</v>
      </c>
      <c r="C6" s="65" t="s">
        <v>50</v>
      </c>
      <c r="D6" s="66" t="s">
        <v>51</v>
      </c>
      <c r="E6" s="73">
        <f t="shared" ref="E6:E7" si="0">+G6*0.8*0.9*0.95</f>
        <v>4.3756164000000011</v>
      </c>
      <c r="F6" s="68"/>
      <c r="G6" s="55">
        <v>6.3971000000000009</v>
      </c>
      <c r="H6" s="55" t="str">
        <f>+C6</f>
        <v xml:space="preserve">Espaciador Polimérico Romboidal 13,2 KV.. </v>
      </c>
      <c r="I6" s="55">
        <v>13.2</v>
      </c>
      <c r="J6" s="69">
        <f>+B6</f>
        <v>235040</v>
      </c>
    </row>
    <row r="7" spans="1:10" x14ac:dyDescent="0.25">
      <c r="A7" s="57"/>
      <c r="B7" s="70">
        <v>235041</v>
      </c>
      <c r="C7" s="71" t="s">
        <v>52</v>
      </c>
      <c r="D7" s="72" t="s">
        <v>51</v>
      </c>
      <c r="E7" s="73">
        <f t="shared" si="0"/>
        <v>3.0959208</v>
      </c>
      <c r="F7" s="74"/>
      <c r="G7" s="55">
        <v>4.5261999999999993</v>
      </c>
      <c r="H7" s="55" t="str">
        <f t="shared" ref="H7:H70" si="1">+C7</f>
        <v>Brazo Antibalanceo 13,2 KV. P/ Espaciador</v>
      </c>
      <c r="I7" s="55">
        <v>13.2</v>
      </c>
      <c r="J7" s="69">
        <f t="shared" ref="J7:J70" si="2">+B7</f>
        <v>235041</v>
      </c>
    </row>
    <row r="8" spans="1:10" x14ac:dyDescent="0.25">
      <c r="A8" s="57"/>
      <c r="B8" s="70">
        <v>7742</v>
      </c>
      <c r="C8" s="75" t="s">
        <v>53</v>
      </c>
      <c r="D8" s="72" t="s">
        <v>51</v>
      </c>
      <c r="E8" s="73">
        <f>+G8*0.8*0.9*0.95</f>
        <v>6.9226819200000005</v>
      </c>
      <c r="F8" s="74"/>
      <c r="G8" s="55">
        <v>10.120880000000001</v>
      </c>
      <c r="H8" s="55" t="str">
        <f t="shared" si="1"/>
        <v xml:space="preserve">Espaciador Polimérico Romboidal 33 KV. </v>
      </c>
      <c r="I8" s="55">
        <v>33</v>
      </c>
      <c r="J8" s="69">
        <f t="shared" si="2"/>
        <v>7742</v>
      </c>
    </row>
    <row r="9" spans="1:10" x14ac:dyDescent="0.25">
      <c r="A9" s="57"/>
      <c r="B9" s="70">
        <v>7743</v>
      </c>
      <c r="C9" s="71" t="s">
        <v>54</v>
      </c>
      <c r="D9" s="72" t="s">
        <v>51</v>
      </c>
      <c r="E9" s="73">
        <f t="shared" ref="E9:E10" si="3">+G9*0.8*0.9*0.95</f>
        <v>5.0064012000000018</v>
      </c>
      <c r="F9" s="74"/>
      <c r="G9" s="55">
        <v>7.319300000000001</v>
      </c>
      <c r="H9" s="55" t="str">
        <f t="shared" si="1"/>
        <v>Brazo Antibalanceo 33 KV. P/ Espaciador</v>
      </c>
      <c r="I9" s="55">
        <v>33</v>
      </c>
      <c r="J9" s="69">
        <f t="shared" si="2"/>
        <v>7743</v>
      </c>
    </row>
    <row r="10" spans="1:10" x14ac:dyDescent="0.25">
      <c r="A10" s="57"/>
      <c r="B10" s="76">
        <v>7744</v>
      </c>
      <c r="C10" s="71" t="s">
        <v>55</v>
      </c>
      <c r="D10" s="72" t="s">
        <v>51</v>
      </c>
      <c r="E10" s="73">
        <f t="shared" si="3"/>
        <v>3.6817531200000002</v>
      </c>
      <c r="F10" s="77"/>
      <c r="G10" s="55">
        <v>5.3826800000000006</v>
      </c>
      <c r="H10" s="55" t="str">
        <f t="shared" si="1"/>
        <v>Espaciador Polimérico Vertical 13,2 KV.</v>
      </c>
      <c r="I10" s="55">
        <v>13.2</v>
      </c>
      <c r="J10" s="69">
        <f t="shared" si="2"/>
        <v>7744</v>
      </c>
    </row>
    <row r="11" spans="1:10" ht="22.5" x14ac:dyDescent="0.25">
      <c r="A11" s="57"/>
      <c r="B11" s="78">
        <v>7745</v>
      </c>
      <c r="C11" s="79" t="s">
        <v>56</v>
      </c>
      <c r="D11" s="80" t="s">
        <v>51</v>
      </c>
      <c r="E11" s="73">
        <f>+G11*0.8*0.9*0.95</f>
        <v>6.6768933600000002</v>
      </c>
      <c r="F11" s="81" t="s">
        <v>57</v>
      </c>
      <c r="G11" s="55">
        <v>9.7615400000000001</v>
      </c>
      <c r="H11" s="55" t="str">
        <f t="shared" si="1"/>
        <v>Espaciador Polimérico Vertical 33 KV.</v>
      </c>
      <c r="I11" s="55">
        <v>33</v>
      </c>
      <c r="J11" s="69">
        <f t="shared" si="2"/>
        <v>7745</v>
      </c>
    </row>
    <row r="12" spans="1:10" x14ac:dyDescent="0.25">
      <c r="A12" s="57"/>
      <c r="B12" s="82"/>
      <c r="C12" s="83"/>
      <c r="D12" s="84"/>
      <c r="E12" s="85"/>
      <c r="F12" s="84"/>
      <c r="G12" s="55">
        <v>0</v>
      </c>
      <c r="J12" s="69"/>
    </row>
    <row r="13" spans="1:10" ht="16.5" thickBot="1" x14ac:dyDescent="0.3">
      <c r="A13" s="57"/>
      <c r="B13" s="311" t="s">
        <v>58</v>
      </c>
      <c r="C13" s="311"/>
      <c r="D13" s="311"/>
      <c r="E13" s="311"/>
      <c r="F13" s="311"/>
      <c r="G13" s="55">
        <v>0</v>
      </c>
      <c r="J13" s="69"/>
    </row>
    <row r="14" spans="1:10" ht="24" x14ac:dyDescent="0.25">
      <c r="A14" s="57"/>
      <c r="B14" s="86">
        <v>7746</v>
      </c>
      <c r="C14" s="87" t="s">
        <v>59</v>
      </c>
      <c r="D14" s="88" t="s">
        <v>51</v>
      </c>
      <c r="E14" s="89">
        <f>+G14*0.8*0.9*0.95</f>
        <v>7.6825238400000018</v>
      </c>
      <c r="F14" s="88"/>
      <c r="G14" s="55">
        <v>11.231760000000001</v>
      </c>
      <c r="H14" s="55" t="str">
        <f t="shared" si="1"/>
        <v>Espaciador Polimerico Romboidal 13,2 KV Con Garra De Ajuste</v>
      </c>
      <c r="I14" s="55">
        <v>13.2</v>
      </c>
      <c r="J14" s="69">
        <f t="shared" si="2"/>
        <v>7746</v>
      </c>
    </row>
    <row r="15" spans="1:10" x14ac:dyDescent="0.25">
      <c r="A15" s="57"/>
      <c r="B15" s="312" t="s">
        <v>60</v>
      </c>
      <c r="C15" s="312"/>
      <c r="D15" s="312"/>
      <c r="E15" s="312"/>
      <c r="F15" s="312"/>
      <c r="G15" s="55">
        <v>0</v>
      </c>
      <c r="J15" s="69"/>
    </row>
    <row r="16" spans="1:10" ht="24" x14ac:dyDescent="0.25">
      <c r="A16" s="57"/>
      <c r="B16" s="90">
        <v>7747</v>
      </c>
      <c r="C16" s="91" t="s">
        <v>61</v>
      </c>
      <c r="D16" s="92" t="s">
        <v>51</v>
      </c>
      <c r="E16" s="93">
        <f>+G16*0.8*0.9*0.95</f>
        <v>10.29484296</v>
      </c>
      <c r="F16" s="92"/>
      <c r="G16" s="55">
        <v>15.050940000000001</v>
      </c>
      <c r="H16" s="55" t="str">
        <f t="shared" si="1"/>
        <v>Espaciador Polimerico Romboidal 33 KV Con Garra De Ajuste</v>
      </c>
      <c r="I16" s="55">
        <v>33</v>
      </c>
      <c r="J16" s="69">
        <f t="shared" si="2"/>
        <v>7747</v>
      </c>
    </row>
    <row r="17" spans="1:10" ht="24" x14ac:dyDescent="0.25">
      <c r="A17" s="57"/>
      <c r="B17" s="90">
        <v>7748</v>
      </c>
      <c r="C17" s="91" t="s">
        <v>62</v>
      </c>
      <c r="D17" s="92" t="s">
        <v>51</v>
      </c>
      <c r="E17" s="93">
        <f t="shared" ref="E17:E18" si="4">+G17*0.8*0.9*0.95</f>
        <v>7.1387438400000018</v>
      </c>
      <c r="F17" s="92"/>
      <c r="G17" s="55">
        <v>10.436760000000001</v>
      </c>
      <c r="H17" s="55" t="str">
        <f t="shared" si="1"/>
        <v>Espaciador Polimerico Vertical 13,2 KV Con Garra De Ajuste</v>
      </c>
      <c r="I17" s="55">
        <v>13.2</v>
      </c>
      <c r="J17" s="69">
        <f t="shared" si="2"/>
        <v>7748</v>
      </c>
    </row>
    <row r="18" spans="1:10" ht="24.75" thickBot="1" x14ac:dyDescent="0.3">
      <c r="A18" s="57"/>
      <c r="B18" s="94">
        <v>7749</v>
      </c>
      <c r="C18" s="95" t="s">
        <v>63</v>
      </c>
      <c r="D18" s="96" t="s">
        <v>51</v>
      </c>
      <c r="E18" s="93">
        <f t="shared" si="4"/>
        <v>10.39634856</v>
      </c>
      <c r="F18" s="96"/>
      <c r="G18" s="55">
        <v>15.199340000000001</v>
      </c>
      <c r="H18" s="55" t="str">
        <f t="shared" si="1"/>
        <v>Espaciador Polimerico Vertical 33 KV Con Garra De Ajuste</v>
      </c>
      <c r="I18" s="55">
        <v>33</v>
      </c>
      <c r="J18" s="69">
        <f t="shared" si="2"/>
        <v>7749</v>
      </c>
    </row>
    <row r="19" spans="1:10" x14ac:dyDescent="0.25">
      <c r="A19" s="57"/>
      <c r="B19" s="97"/>
      <c r="C19" s="98"/>
      <c r="D19" s="99"/>
      <c r="E19" s="100"/>
      <c r="F19" s="99"/>
      <c r="G19" s="55">
        <v>0</v>
      </c>
      <c r="J19" s="69"/>
    </row>
    <row r="20" spans="1:10" ht="16.5" thickBot="1" x14ac:dyDescent="0.3">
      <c r="A20" s="57"/>
      <c r="B20" s="309" t="s">
        <v>64</v>
      </c>
      <c r="C20" s="309"/>
      <c r="D20" s="309"/>
      <c r="E20" s="309"/>
      <c r="F20" s="309"/>
      <c r="G20" s="55">
        <v>0</v>
      </c>
      <c r="J20" s="69"/>
    </row>
    <row r="21" spans="1:10" ht="24" x14ac:dyDescent="0.25">
      <c r="A21" s="57"/>
      <c r="B21" s="101">
        <v>235030</v>
      </c>
      <c r="C21" s="102" t="s">
        <v>65</v>
      </c>
      <c r="D21" s="103" t="s">
        <v>51</v>
      </c>
      <c r="E21" s="107">
        <f>+G21*0.8*0.9*0.95</f>
        <v>30.15586368</v>
      </c>
      <c r="F21" s="306" t="s">
        <v>66</v>
      </c>
      <c r="G21" s="55">
        <v>44.087519999999998</v>
      </c>
      <c r="H21" s="55" t="str">
        <f t="shared" si="1"/>
        <v>Ménsula de Suspensión de Hierro P/ 13,2 KV. C/ Estribo Móvil</v>
      </c>
      <c r="I21" s="55">
        <v>13.2</v>
      </c>
      <c r="J21" s="69">
        <f t="shared" si="2"/>
        <v>235030</v>
      </c>
    </row>
    <row r="22" spans="1:10" ht="24" x14ac:dyDescent="0.25">
      <c r="A22" s="57"/>
      <c r="B22" s="104">
        <v>7731</v>
      </c>
      <c r="C22" s="105" t="s">
        <v>67</v>
      </c>
      <c r="D22" s="106" t="s">
        <v>51</v>
      </c>
      <c r="E22" s="107">
        <f>+G22*0.8*0.9*0.95</f>
        <v>38.961474480000007</v>
      </c>
      <c r="F22" s="307"/>
      <c r="G22" s="55">
        <v>56.961220000000004</v>
      </c>
      <c r="H22" s="55" t="str">
        <f t="shared" si="1"/>
        <v>Ménsula de Suspensión de Hierro P/ 33 KV. C/ Estribo Móvil</v>
      </c>
      <c r="I22" s="55">
        <v>33</v>
      </c>
      <c r="J22" s="69">
        <f t="shared" si="2"/>
        <v>7731</v>
      </c>
    </row>
    <row r="23" spans="1:10" ht="24" x14ac:dyDescent="0.25">
      <c r="A23" s="57"/>
      <c r="B23" s="104">
        <v>7732</v>
      </c>
      <c r="C23" s="105" t="s">
        <v>68</v>
      </c>
      <c r="D23" s="106" t="s">
        <v>51</v>
      </c>
      <c r="E23" s="107">
        <f t="shared" ref="E23:E24" si="5">+G23*0.8*0.9*0.95</f>
        <v>31.729200480000003</v>
      </c>
      <c r="F23" s="307"/>
      <c r="G23" s="55">
        <v>46.387720000000002</v>
      </c>
      <c r="H23" s="55" t="str">
        <f t="shared" si="1"/>
        <v>Ménsula de Suspensión de Hierro P/ 13,2 KV. C/ Estribo Fijo</v>
      </c>
      <c r="I23" s="55">
        <v>13.2</v>
      </c>
      <c r="J23" s="69">
        <f t="shared" si="2"/>
        <v>7732</v>
      </c>
    </row>
    <row r="24" spans="1:10" ht="24.75" thickBot="1" x14ac:dyDescent="0.3">
      <c r="A24" s="57"/>
      <c r="B24" s="108">
        <v>7733</v>
      </c>
      <c r="C24" s="79" t="s">
        <v>69</v>
      </c>
      <c r="D24" s="109" t="s">
        <v>51</v>
      </c>
      <c r="E24" s="107">
        <f t="shared" si="5"/>
        <v>34.42417416</v>
      </c>
      <c r="F24" s="308"/>
      <c r="G24" s="55">
        <v>50.327739999999999</v>
      </c>
      <c r="H24" s="55" t="str">
        <f t="shared" si="1"/>
        <v>Ménsula de Suspensión de Hierro P/ 33 KV. C/ Estribo Fijo</v>
      </c>
      <c r="I24" s="55">
        <v>33</v>
      </c>
      <c r="J24" s="69">
        <f t="shared" si="2"/>
        <v>7733</v>
      </c>
    </row>
    <row r="25" spans="1:10" x14ac:dyDescent="0.25">
      <c r="A25" s="57"/>
      <c r="B25" s="110"/>
      <c r="C25" s="111"/>
      <c r="D25" s="57"/>
      <c r="E25" s="62"/>
      <c r="F25" s="63"/>
      <c r="G25" s="55">
        <v>0</v>
      </c>
      <c r="J25" s="69"/>
    </row>
    <row r="26" spans="1:10" ht="16.5" thickBot="1" x14ac:dyDescent="0.3">
      <c r="A26" s="57"/>
      <c r="B26" s="314" t="s">
        <v>70</v>
      </c>
      <c r="C26" s="315"/>
      <c r="D26" s="315"/>
      <c r="E26" s="315"/>
      <c r="F26" s="315"/>
      <c r="G26" s="55">
        <v>0</v>
      </c>
      <c r="J26" s="69"/>
    </row>
    <row r="27" spans="1:10" ht="25.5" x14ac:dyDescent="0.25">
      <c r="A27" s="57"/>
      <c r="B27" s="86" t="s">
        <v>71</v>
      </c>
      <c r="C27" s="87" t="s">
        <v>295</v>
      </c>
      <c r="D27" s="88" t="s">
        <v>51</v>
      </c>
      <c r="E27" s="89">
        <f>+G27*0.8*0.9*0.95</f>
        <v>2.7486266399999999</v>
      </c>
      <c r="F27" s="112"/>
      <c r="G27" s="55">
        <v>4.0184600000000001</v>
      </c>
      <c r="H27" s="55" t="str">
        <f t="shared" si="1"/>
        <v>Conector 1995/8 E. CU. Un Bulón c/ T. F. 2 KG. secc. 25-150/4-35 mm2   P/ Estribo Abierto 95 mm2</v>
      </c>
      <c r="I27" s="55">
        <v>13.2</v>
      </c>
      <c r="J27" s="69" t="str">
        <f t="shared" si="2"/>
        <v>0289</v>
      </c>
    </row>
    <row r="28" spans="1:10" x14ac:dyDescent="0.25">
      <c r="A28" s="57"/>
      <c r="B28" s="113" t="s">
        <v>72</v>
      </c>
      <c r="C28" s="114" t="s">
        <v>73</v>
      </c>
      <c r="D28" s="115" t="s">
        <v>51</v>
      </c>
      <c r="E28" s="188">
        <f t="shared" ref="E28:E35" si="6">+G28*0.8*0.9*0.95</f>
        <v>5.0752800000000002</v>
      </c>
      <c r="F28" s="116"/>
      <c r="G28" s="55">
        <v>7.42</v>
      </c>
      <c r="H28" s="55" t="str">
        <f t="shared" si="1"/>
        <v>Morsa MRAC p/ Linea Compacta</v>
      </c>
      <c r="I28" s="55">
        <v>13.2</v>
      </c>
      <c r="J28" s="69" t="str">
        <f t="shared" si="2"/>
        <v>7750</v>
      </c>
    </row>
    <row r="29" spans="1:10" ht="39" x14ac:dyDescent="0.25">
      <c r="A29" s="57"/>
      <c r="B29" s="113" t="s">
        <v>34</v>
      </c>
      <c r="C29" s="114" t="s">
        <v>296</v>
      </c>
      <c r="D29" s="115" t="s">
        <v>51</v>
      </c>
      <c r="E29" s="158">
        <f t="shared" si="6"/>
        <v>6.0961363200000003</v>
      </c>
      <c r="F29" s="116"/>
      <c r="G29" s="55">
        <v>8.9124800000000004</v>
      </c>
      <c r="H29" s="55" t="str">
        <f t="shared" si="1"/>
        <v xml:space="preserve">Conector 1995/10 E. CU. Dos Bulones p/ Lineas Protegidas C/TF 2 KG. SECC. 25-120/ 25-120 MM2 Y 25/120 mm2 / ESTRIBO 95 mm2 </v>
      </c>
      <c r="I29" s="55">
        <v>13.2</v>
      </c>
      <c r="J29" s="69" t="str">
        <f t="shared" si="2"/>
        <v>0291</v>
      </c>
    </row>
    <row r="30" spans="1:10" x14ac:dyDescent="0.25">
      <c r="A30" s="57"/>
      <c r="B30" s="76" t="s">
        <v>74</v>
      </c>
      <c r="C30" s="71" t="s">
        <v>75</v>
      </c>
      <c r="D30" s="72" t="s">
        <v>51</v>
      </c>
      <c r="E30" s="188">
        <f t="shared" si="6"/>
        <v>3.7513569600000007</v>
      </c>
      <c r="F30" s="77"/>
      <c r="G30" s="55">
        <v>5.4844400000000011</v>
      </c>
      <c r="H30" s="55" t="str">
        <f t="shared" si="1"/>
        <v>Estribo de AL. Cerrado p/ Puesta a Tierra</v>
      </c>
      <c r="I30" s="55">
        <v>13.2</v>
      </c>
      <c r="J30" s="69" t="str">
        <f t="shared" si="2"/>
        <v>9800</v>
      </c>
    </row>
    <row r="31" spans="1:10" x14ac:dyDescent="0.25">
      <c r="A31" s="57"/>
      <c r="B31" s="76" t="s">
        <v>76</v>
      </c>
      <c r="C31" s="71" t="s">
        <v>77</v>
      </c>
      <c r="D31" s="72" t="s">
        <v>51</v>
      </c>
      <c r="E31" s="188">
        <f t="shared" si="6"/>
        <v>11.310624000000001</v>
      </c>
      <c r="F31" s="77"/>
      <c r="G31" s="55">
        <v>16.536000000000001</v>
      </c>
      <c r="H31" s="55" t="str">
        <f t="shared" si="1"/>
        <v>Estribo de CU. Cerrado p/ Puesta a Tierra</v>
      </c>
      <c r="I31" s="55">
        <v>13.2</v>
      </c>
      <c r="J31" s="69" t="str">
        <f t="shared" si="2"/>
        <v>9801</v>
      </c>
    </row>
    <row r="32" spans="1:10" ht="24.75" thickBot="1" x14ac:dyDescent="0.3">
      <c r="A32" s="57"/>
      <c r="B32" s="76" t="s">
        <v>37</v>
      </c>
      <c r="C32" s="71" t="s">
        <v>38</v>
      </c>
      <c r="D32" s="72" t="s">
        <v>51</v>
      </c>
      <c r="E32" s="158">
        <f t="shared" si="6"/>
        <v>12.098742480000002</v>
      </c>
      <c r="F32" s="77"/>
      <c r="G32" s="55">
        <v>17.688220000000001</v>
      </c>
      <c r="H32" s="55" t="str">
        <f t="shared" si="1"/>
        <v>Estribo de CU. Estañado Cerrado p/ Puesta a Tierra</v>
      </c>
      <c r="I32" s="55">
        <v>13.2</v>
      </c>
      <c r="J32" s="69" t="str">
        <f t="shared" si="2"/>
        <v>9802</v>
      </c>
    </row>
    <row r="33" spans="1:10" ht="15.75" thickBot="1" x14ac:dyDescent="0.3">
      <c r="A33" s="57"/>
      <c r="B33" s="76" t="s">
        <v>78</v>
      </c>
      <c r="C33" s="71" t="s">
        <v>79</v>
      </c>
      <c r="D33" s="72" t="s">
        <v>51</v>
      </c>
      <c r="E33" s="89">
        <f t="shared" si="6"/>
        <v>2.1925209600000004</v>
      </c>
      <c r="F33" s="77"/>
      <c r="G33" s="55">
        <v>3.2054400000000003</v>
      </c>
      <c r="H33" s="55" t="str">
        <f t="shared" si="1"/>
        <v>Estribo de AL. Abierto p/ Puesta a Tierra</v>
      </c>
      <c r="I33" s="55">
        <v>13.2</v>
      </c>
      <c r="J33" s="69" t="str">
        <f t="shared" si="2"/>
        <v>9803</v>
      </c>
    </row>
    <row r="34" spans="1:10" ht="15.75" thickBot="1" x14ac:dyDescent="0.3">
      <c r="A34" s="57"/>
      <c r="B34" s="76" t="s">
        <v>80</v>
      </c>
      <c r="C34" s="71" t="s">
        <v>81</v>
      </c>
      <c r="D34" s="72" t="s">
        <v>51</v>
      </c>
      <c r="E34" s="89">
        <f t="shared" si="6"/>
        <v>8.9926711200000007</v>
      </c>
      <c r="F34" s="77"/>
      <c r="G34" s="55">
        <v>13.147180000000001</v>
      </c>
      <c r="H34" s="55" t="str">
        <f t="shared" si="1"/>
        <v>Estribo de CU. Abierto p/ Puesta a Tierra</v>
      </c>
      <c r="I34" s="55">
        <v>13.2</v>
      </c>
      <c r="J34" s="69" t="str">
        <f t="shared" si="2"/>
        <v>9804</v>
      </c>
    </row>
    <row r="35" spans="1:10" ht="15.75" thickBot="1" x14ac:dyDescent="0.3">
      <c r="A35" s="57"/>
      <c r="B35" s="117" t="s">
        <v>82</v>
      </c>
      <c r="C35" s="118" t="s">
        <v>83</v>
      </c>
      <c r="D35" s="119" t="s">
        <v>51</v>
      </c>
      <c r="E35" s="89">
        <f t="shared" si="6"/>
        <v>9.7807896000000003</v>
      </c>
      <c r="F35" s="120"/>
      <c r="G35" s="55">
        <v>14.2994</v>
      </c>
      <c r="H35" s="55" t="str">
        <f t="shared" si="1"/>
        <v>Estribo de CU. Estañado Abierto p/ Puesta a Tierra</v>
      </c>
      <c r="I35" s="55">
        <v>13.2</v>
      </c>
      <c r="J35" s="69" t="str">
        <f t="shared" si="2"/>
        <v>9805</v>
      </c>
    </row>
    <row r="36" spans="1:10" ht="15" customHeight="1" x14ac:dyDescent="0.25">
      <c r="A36" s="57"/>
      <c r="B36" s="110"/>
      <c r="C36" s="57"/>
      <c r="D36" s="57"/>
      <c r="E36" s="62"/>
      <c r="F36" s="63"/>
      <c r="G36" s="55">
        <v>0</v>
      </c>
      <c r="J36" s="69"/>
    </row>
    <row r="37" spans="1:10" ht="15.75" thickBot="1" x14ac:dyDescent="0.3">
      <c r="A37" s="57"/>
      <c r="B37" s="316" t="s">
        <v>84</v>
      </c>
      <c r="C37" s="316"/>
      <c r="D37" s="316"/>
      <c r="E37" s="316"/>
      <c r="F37" s="316"/>
      <c r="G37" s="55">
        <v>0</v>
      </c>
      <c r="J37" s="69"/>
    </row>
    <row r="38" spans="1:10" x14ac:dyDescent="0.25">
      <c r="A38" s="57"/>
      <c r="B38" s="121" t="s">
        <v>85</v>
      </c>
      <c r="C38" s="122" t="s">
        <v>86</v>
      </c>
      <c r="D38" s="123" t="s">
        <v>51</v>
      </c>
      <c r="E38" s="73">
        <f t="shared" ref="E38:E39" si="7">+G38*0.8*0.9*0.95</f>
        <v>0.28349064000000007</v>
      </c>
      <c r="F38" s="125" t="s">
        <v>87</v>
      </c>
      <c r="G38" s="55">
        <v>0.41446000000000005</v>
      </c>
      <c r="H38" s="55" t="str">
        <f t="shared" si="1"/>
        <v>Protector P/25 MM. 13,2 KV</v>
      </c>
      <c r="I38" s="55">
        <v>13.2</v>
      </c>
      <c r="J38" s="69" t="str">
        <f t="shared" si="2"/>
        <v>7790</v>
      </c>
    </row>
    <row r="39" spans="1:10" x14ac:dyDescent="0.25">
      <c r="A39" s="57"/>
      <c r="B39" s="104" t="s">
        <v>88</v>
      </c>
      <c r="C39" s="126" t="s">
        <v>89</v>
      </c>
      <c r="D39" s="106" t="s">
        <v>51</v>
      </c>
      <c r="E39" s="73">
        <f t="shared" si="7"/>
        <v>0.29509128000000001</v>
      </c>
      <c r="F39" s="127" t="s">
        <v>87</v>
      </c>
      <c r="G39" s="55">
        <v>0.43141999999999997</v>
      </c>
      <c r="H39" s="55" t="str">
        <f t="shared" si="1"/>
        <v>Protector P/35 MM. 13,2 KV</v>
      </c>
      <c r="I39" s="55">
        <v>13.2</v>
      </c>
      <c r="J39" s="69" t="str">
        <f t="shared" si="2"/>
        <v>7791</v>
      </c>
    </row>
    <row r="40" spans="1:10" x14ac:dyDescent="0.25">
      <c r="A40" s="57"/>
      <c r="B40" s="70" t="s">
        <v>90</v>
      </c>
      <c r="C40" s="75" t="s">
        <v>91</v>
      </c>
      <c r="D40" s="128" t="s">
        <v>51</v>
      </c>
      <c r="E40" s="73">
        <f>+G40*0.8*0.9*0.95</f>
        <v>0.30016656000000003</v>
      </c>
      <c r="F40" s="72"/>
      <c r="G40" s="55">
        <v>0.43884000000000001</v>
      </c>
      <c r="H40" s="55" t="str">
        <f t="shared" si="1"/>
        <v>Protector P/50 MM. 13,2 KV</v>
      </c>
      <c r="I40" s="55">
        <v>13.2</v>
      </c>
      <c r="J40" s="69" t="str">
        <f t="shared" si="2"/>
        <v>7792</v>
      </c>
    </row>
    <row r="41" spans="1:10" x14ac:dyDescent="0.25">
      <c r="A41" s="57"/>
      <c r="B41" s="76" t="s">
        <v>92</v>
      </c>
      <c r="C41" s="71" t="s">
        <v>93</v>
      </c>
      <c r="D41" s="72" t="s">
        <v>51</v>
      </c>
      <c r="E41" s="73">
        <f t="shared" ref="E41:E42" si="8">+G41*0.8*0.9*0.95</f>
        <v>0.30306672000000007</v>
      </c>
      <c r="F41" s="72"/>
      <c r="G41" s="55">
        <v>0.44308000000000003</v>
      </c>
      <c r="H41" s="55" t="str">
        <f t="shared" si="1"/>
        <v>Protector P/70 MM. 13,2 KV</v>
      </c>
      <c r="I41" s="55">
        <v>13.2</v>
      </c>
      <c r="J41" s="69" t="str">
        <f t="shared" si="2"/>
        <v>7793</v>
      </c>
    </row>
    <row r="42" spans="1:10" x14ac:dyDescent="0.25">
      <c r="A42" s="57"/>
      <c r="B42" s="76" t="s">
        <v>94</v>
      </c>
      <c r="C42" s="71" t="s">
        <v>95</v>
      </c>
      <c r="D42" s="72" t="s">
        <v>51</v>
      </c>
      <c r="E42" s="73">
        <f t="shared" si="8"/>
        <v>0.33279336000000004</v>
      </c>
      <c r="F42" s="72"/>
      <c r="G42" s="55">
        <v>0.48654000000000003</v>
      </c>
      <c r="H42" s="55" t="str">
        <f t="shared" si="1"/>
        <v>Protector P/95 MM. 13,2 KV</v>
      </c>
      <c r="I42" s="55">
        <v>13.2</v>
      </c>
      <c r="J42" s="69" t="str">
        <f t="shared" si="2"/>
        <v>7794</v>
      </c>
    </row>
    <row r="43" spans="1:10" ht="15" customHeight="1" x14ac:dyDescent="0.25">
      <c r="A43" s="57"/>
      <c r="B43" s="129"/>
      <c r="C43" s="130"/>
      <c r="D43" s="131"/>
      <c r="E43" s="100"/>
      <c r="F43" s="131"/>
      <c r="G43" s="55">
        <v>0</v>
      </c>
      <c r="J43" s="69"/>
    </row>
    <row r="44" spans="1:10" ht="15" customHeight="1" x14ac:dyDescent="0.25">
      <c r="A44" s="57"/>
      <c r="B44" s="132" t="s">
        <v>44</v>
      </c>
      <c r="C44" s="133" t="s">
        <v>45</v>
      </c>
      <c r="D44" s="133" t="s">
        <v>46</v>
      </c>
      <c r="E44" s="134" t="s">
        <v>47</v>
      </c>
      <c r="F44" s="133" t="s">
        <v>48</v>
      </c>
      <c r="G44" s="55">
        <v>0</v>
      </c>
      <c r="J44" s="69"/>
    </row>
    <row r="45" spans="1:10" ht="15" customHeight="1" x14ac:dyDescent="0.25">
      <c r="A45" s="57"/>
      <c r="B45" s="78"/>
      <c r="C45" s="79"/>
      <c r="D45" s="80"/>
      <c r="E45" s="73">
        <f t="shared" ref="E45:E49" si="9">+G45*0.8*0.9*0.95</f>
        <v>0</v>
      </c>
      <c r="F45" s="80"/>
      <c r="G45" s="55">
        <v>0</v>
      </c>
      <c r="J45" s="69"/>
    </row>
    <row r="46" spans="1:10" x14ac:dyDescent="0.25">
      <c r="A46" s="57"/>
      <c r="B46" s="135" t="s">
        <v>96</v>
      </c>
      <c r="C46" s="136" t="s">
        <v>97</v>
      </c>
      <c r="D46" s="137" t="s">
        <v>51</v>
      </c>
      <c r="E46" s="73">
        <f t="shared" si="9"/>
        <v>0.33351840000000005</v>
      </c>
      <c r="F46" s="138" t="s">
        <v>87</v>
      </c>
      <c r="G46" s="55">
        <v>0.48760000000000003</v>
      </c>
      <c r="H46" s="55" t="str">
        <f t="shared" si="1"/>
        <v>Protector P/120 MM. 13,2 KV</v>
      </c>
      <c r="I46" s="55">
        <v>13.2</v>
      </c>
      <c r="J46" s="69" t="str">
        <f t="shared" si="2"/>
        <v>7795</v>
      </c>
    </row>
    <row r="47" spans="1:10" x14ac:dyDescent="0.25">
      <c r="A47" s="57"/>
      <c r="B47" s="104" t="s">
        <v>98</v>
      </c>
      <c r="C47" s="126" t="s">
        <v>99</v>
      </c>
      <c r="D47" s="106" t="s">
        <v>51</v>
      </c>
      <c r="E47" s="73">
        <f t="shared" si="9"/>
        <v>0.33569352000000008</v>
      </c>
      <c r="F47" s="139" t="s">
        <v>87</v>
      </c>
      <c r="G47" s="55">
        <v>0.49078000000000005</v>
      </c>
      <c r="H47" s="55" t="str">
        <f t="shared" si="1"/>
        <v>Protector P/150 MM. 13,2 KV</v>
      </c>
      <c r="I47" s="55">
        <v>13.2</v>
      </c>
      <c r="J47" s="69" t="str">
        <f t="shared" si="2"/>
        <v>7796</v>
      </c>
    </row>
    <row r="48" spans="1:10" x14ac:dyDescent="0.25">
      <c r="A48" s="57"/>
      <c r="B48" s="129" t="s">
        <v>100</v>
      </c>
      <c r="C48" s="130" t="s">
        <v>101</v>
      </c>
      <c r="D48" s="131" t="s">
        <v>51</v>
      </c>
      <c r="E48" s="73">
        <f t="shared" si="9"/>
        <v>0.33931872000000007</v>
      </c>
      <c r="F48" s="140" t="s">
        <v>87</v>
      </c>
      <c r="G48" s="55">
        <v>0.49608000000000008</v>
      </c>
      <c r="H48" s="55" t="str">
        <f t="shared" si="1"/>
        <v>Protector P/185 MM. 13,2 KV</v>
      </c>
      <c r="I48" s="55">
        <v>13.2</v>
      </c>
      <c r="J48" s="69" t="str">
        <f t="shared" si="2"/>
        <v>7797</v>
      </c>
    </row>
    <row r="49" spans="1:10" x14ac:dyDescent="0.25">
      <c r="A49" s="57"/>
      <c r="B49" s="104" t="s">
        <v>102</v>
      </c>
      <c r="C49" s="126" t="s">
        <v>103</v>
      </c>
      <c r="D49" s="106" t="s">
        <v>51</v>
      </c>
      <c r="E49" s="73">
        <f t="shared" si="9"/>
        <v>0.34149383999999999</v>
      </c>
      <c r="F49" s="139" t="s">
        <v>87</v>
      </c>
      <c r="G49" s="55">
        <v>0.49925999999999998</v>
      </c>
      <c r="H49" s="55" t="str">
        <f t="shared" si="1"/>
        <v>Protector P/240 MM. 13,2 KV</v>
      </c>
      <c r="I49" s="55">
        <v>13.2</v>
      </c>
      <c r="J49" s="69" t="str">
        <f t="shared" si="2"/>
        <v>7798</v>
      </c>
    </row>
    <row r="50" spans="1:10" x14ac:dyDescent="0.25">
      <c r="A50" s="57"/>
      <c r="B50" s="78" t="s">
        <v>104</v>
      </c>
      <c r="C50" s="79" t="s">
        <v>105</v>
      </c>
      <c r="D50" s="80" t="s">
        <v>51</v>
      </c>
      <c r="E50" s="73">
        <f>+G50*0.8*0.9*0.95</f>
        <v>0.34729416000000002</v>
      </c>
      <c r="F50" s="141" t="s">
        <v>87</v>
      </c>
      <c r="G50" s="55">
        <v>0.50773999999999997</v>
      </c>
      <c r="H50" s="55" t="str">
        <f t="shared" si="1"/>
        <v>Protector P/300 MM. 13,2 KV</v>
      </c>
      <c r="I50" s="55">
        <v>13.2</v>
      </c>
      <c r="J50" s="69" t="str">
        <f t="shared" si="2"/>
        <v>7799</v>
      </c>
    </row>
    <row r="51" spans="1:10" ht="15.75" thickBot="1" x14ac:dyDescent="0.3">
      <c r="A51" s="57"/>
      <c r="B51" s="317" t="s">
        <v>106</v>
      </c>
      <c r="C51" s="317"/>
      <c r="D51" s="317"/>
      <c r="E51" s="317"/>
      <c r="F51" s="317"/>
      <c r="G51" s="55">
        <v>0</v>
      </c>
      <c r="J51" s="69"/>
    </row>
    <row r="52" spans="1:10" x14ac:dyDescent="0.25">
      <c r="A52" s="57"/>
      <c r="B52" s="129" t="s">
        <v>107</v>
      </c>
      <c r="C52" s="130" t="s">
        <v>108</v>
      </c>
      <c r="D52" s="131" t="s">
        <v>51</v>
      </c>
      <c r="E52" s="107">
        <f t="shared" ref="E52:E60" si="10">+G52*0.8*0.9*0.95</f>
        <v>0.28929096000000004</v>
      </c>
      <c r="F52" s="140" t="s">
        <v>87</v>
      </c>
      <c r="G52" s="55">
        <v>0.42294000000000004</v>
      </c>
      <c r="H52" s="55" t="str">
        <f t="shared" si="1"/>
        <v xml:space="preserve">Protector P/25 MM. 33 KV </v>
      </c>
      <c r="I52" s="55">
        <v>13.2</v>
      </c>
      <c r="J52" s="69" t="str">
        <f t="shared" si="2"/>
        <v>9700</v>
      </c>
    </row>
    <row r="53" spans="1:10" x14ac:dyDescent="0.25">
      <c r="A53" s="57"/>
      <c r="B53" s="104" t="s">
        <v>109</v>
      </c>
      <c r="C53" s="126" t="s">
        <v>110</v>
      </c>
      <c r="D53" s="106" t="s">
        <v>51</v>
      </c>
      <c r="E53" s="107">
        <f t="shared" si="10"/>
        <v>0.29509128000000001</v>
      </c>
      <c r="F53" s="139" t="s">
        <v>87</v>
      </c>
      <c r="G53" s="55">
        <v>0.43141999999999997</v>
      </c>
      <c r="H53" s="55" t="str">
        <f t="shared" si="1"/>
        <v>Protector P/35 MM. 33 KV</v>
      </c>
      <c r="I53" s="55">
        <v>13.2</v>
      </c>
      <c r="J53" s="69" t="str">
        <f t="shared" si="2"/>
        <v>9701</v>
      </c>
    </row>
    <row r="54" spans="1:10" x14ac:dyDescent="0.25">
      <c r="A54" s="57"/>
      <c r="B54" s="129" t="s">
        <v>111</v>
      </c>
      <c r="C54" s="130" t="s">
        <v>112</v>
      </c>
      <c r="D54" s="131" t="s">
        <v>51</v>
      </c>
      <c r="E54" s="107">
        <f t="shared" si="10"/>
        <v>0.30596688</v>
      </c>
      <c r="F54" s="140" t="s">
        <v>87</v>
      </c>
      <c r="G54" s="55">
        <v>0.44732</v>
      </c>
      <c r="H54" s="55" t="str">
        <f t="shared" si="1"/>
        <v xml:space="preserve">Protector P/50 MM. 33 KV </v>
      </c>
      <c r="I54" s="55">
        <v>13.2</v>
      </c>
      <c r="J54" s="69" t="str">
        <f t="shared" si="2"/>
        <v>9702</v>
      </c>
    </row>
    <row r="55" spans="1:10" x14ac:dyDescent="0.25">
      <c r="A55" s="57"/>
      <c r="B55" s="104" t="s">
        <v>113</v>
      </c>
      <c r="C55" s="126" t="s">
        <v>114</v>
      </c>
      <c r="D55" s="106" t="s">
        <v>51</v>
      </c>
      <c r="E55" s="107">
        <f t="shared" si="10"/>
        <v>0.49157712000000015</v>
      </c>
      <c r="F55" s="139" t="s">
        <v>87</v>
      </c>
      <c r="G55" s="55">
        <v>0.7186800000000001</v>
      </c>
      <c r="H55" s="55" t="str">
        <f t="shared" si="1"/>
        <v xml:space="preserve">Protector P/70 MM. 33 KV </v>
      </c>
      <c r="I55" s="55">
        <v>13.2</v>
      </c>
      <c r="J55" s="69" t="str">
        <f t="shared" si="2"/>
        <v>9703</v>
      </c>
    </row>
    <row r="56" spans="1:10" x14ac:dyDescent="0.25">
      <c r="A56" s="57"/>
      <c r="B56" s="129" t="s">
        <v>115</v>
      </c>
      <c r="C56" s="130" t="s">
        <v>116</v>
      </c>
      <c r="D56" s="131" t="s">
        <v>51</v>
      </c>
      <c r="E56" s="107">
        <f t="shared" si="10"/>
        <v>0.34511903999999999</v>
      </c>
      <c r="F56" s="140" t="s">
        <v>87</v>
      </c>
      <c r="G56" s="55">
        <v>0.50456000000000001</v>
      </c>
      <c r="H56" s="55" t="str">
        <f t="shared" si="1"/>
        <v xml:space="preserve">Protector P/95 MM. 33 KV </v>
      </c>
      <c r="I56" s="55">
        <v>13.2</v>
      </c>
      <c r="J56" s="69" t="str">
        <f t="shared" si="2"/>
        <v>9704</v>
      </c>
    </row>
    <row r="57" spans="1:10" x14ac:dyDescent="0.25">
      <c r="A57" s="57"/>
      <c r="B57" s="104" t="s">
        <v>117</v>
      </c>
      <c r="C57" s="126" t="s">
        <v>118</v>
      </c>
      <c r="D57" s="106" t="s">
        <v>51</v>
      </c>
      <c r="E57" s="107">
        <f t="shared" si="10"/>
        <v>0.35091936000000007</v>
      </c>
      <c r="F57" s="139" t="s">
        <v>87</v>
      </c>
      <c r="G57" s="55">
        <v>0.51304000000000005</v>
      </c>
      <c r="H57" s="55" t="str">
        <f t="shared" si="1"/>
        <v xml:space="preserve">Protector P/120 MM. 33 KV </v>
      </c>
      <c r="I57" s="55">
        <v>13.2</v>
      </c>
      <c r="J57" s="69" t="str">
        <f t="shared" si="2"/>
        <v>9705</v>
      </c>
    </row>
    <row r="58" spans="1:10" x14ac:dyDescent="0.25">
      <c r="A58" s="57"/>
      <c r="B58" s="129" t="s">
        <v>119</v>
      </c>
      <c r="C58" s="130" t="s">
        <v>120</v>
      </c>
      <c r="D58" s="131" t="s">
        <v>51</v>
      </c>
      <c r="E58" s="107">
        <f t="shared" si="10"/>
        <v>0.35599464000000008</v>
      </c>
      <c r="F58" s="140" t="s">
        <v>87</v>
      </c>
      <c r="G58" s="55">
        <v>0.52046000000000003</v>
      </c>
      <c r="H58" s="55" t="str">
        <f t="shared" si="1"/>
        <v>Protector P/150 MM. 33 KV</v>
      </c>
      <c r="I58" s="55">
        <v>13.2</v>
      </c>
      <c r="J58" s="69" t="str">
        <f t="shared" si="2"/>
        <v>9706</v>
      </c>
    </row>
    <row r="59" spans="1:10" x14ac:dyDescent="0.25">
      <c r="A59" s="57"/>
      <c r="B59" s="104" t="s">
        <v>121</v>
      </c>
      <c r="C59" s="126" t="s">
        <v>122</v>
      </c>
      <c r="D59" s="106" t="s">
        <v>51</v>
      </c>
      <c r="E59" s="107">
        <f t="shared" si="10"/>
        <v>0.36179496000000005</v>
      </c>
      <c r="F59" s="139" t="s">
        <v>87</v>
      </c>
      <c r="G59" s="55">
        <v>0.52894000000000008</v>
      </c>
      <c r="H59" s="55" t="str">
        <f t="shared" si="1"/>
        <v xml:space="preserve">Protector P/185 MM. 33 KV </v>
      </c>
      <c r="I59" s="55">
        <v>13.2</v>
      </c>
      <c r="J59" s="69" t="str">
        <f t="shared" si="2"/>
        <v>9707</v>
      </c>
    </row>
    <row r="60" spans="1:10" x14ac:dyDescent="0.25">
      <c r="A60" s="57"/>
      <c r="B60" s="129" t="s">
        <v>123</v>
      </c>
      <c r="C60" s="130" t="s">
        <v>124</v>
      </c>
      <c r="D60" s="131" t="s">
        <v>51</v>
      </c>
      <c r="E60" s="107">
        <f t="shared" si="10"/>
        <v>0.36759528000000002</v>
      </c>
      <c r="F60" s="140" t="s">
        <v>87</v>
      </c>
      <c r="G60" s="55">
        <v>0.53742000000000001</v>
      </c>
      <c r="H60" s="55" t="str">
        <f t="shared" si="1"/>
        <v xml:space="preserve">Protector P/240 MM. 33 KV </v>
      </c>
      <c r="I60" s="55">
        <v>13.2</v>
      </c>
      <c r="J60" s="69" t="str">
        <f t="shared" si="2"/>
        <v>9708</v>
      </c>
    </row>
    <row r="61" spans="1:10" x14ac:dyDescent="0.25">
      <c r="A61" s="57"/>
      <c r="B61" s="104" t="s">
        <v>125</v>
      </c>
      <c r="C61" s="126" t="s">
        <v>126</v>
      </c>
      <c r="D61" s="106" t="s">
        <v>51</v>
      </c>
      <c r="E61" s="107">
        <f>+G61*0.8*0.9*0.95</f>
        <v>0.37267056000000004</v>
      </c>
      <c r="F61" s="139" t="s">
        <v>87</v>
      </c>
      <c r="G61" s="55">
        <v>0.54483999999999999</v>
      </c>
      <c r="H61" s="55" t="str">
        <f t="shared" si="1"/>
        <v>Protector P/300 MM. 33 KV</v>
      </c>
      <c r="I61" s="55">
        <v>13.2</v>
      </c>
      <c r="J61" s="69" t="str">
        <f t="shared" si="2"/>
        <v>9709</v>
      </c>
    </row>
    <row r="62" spans="1:10" x14ac:dyDescent="0.25">
      <c r="A62" s="57"/>
      <c r="B62" s="110"/>
      <c r="C62" s="57"/>
      <c r="D62" s="57"/>
      <c r="E62" s="62"/>
      <c r="F62" s="63"/>
      <c r="G62" s="55">
        <v>0</v>
      </c>
      <c r="J62" s="69"/>
    </row>
    <row r="63" spans="1:10" x14ac:dyDescent="0.25">
      <c r="A63" s="57"/>
      <c r="B63" s="318" t="s">
        <v>127</v>
      </c>
      <c r="C63" s="318"/>
      <c r="D63" s="318"/>
      <c r="E63" s="318"/>
      <c r="F63" s="318"/>
      <c r="G63" s="55">
        <v>0</v>
      </c>
      <c r="J63" s="69"/>
    </row>
    <row r="64" spans="1:10" ht="15.75" x14ac:dyDescent="0.25">
      <c r="A64" s="57"/>
      <c r="B64" s="319" t="s">
        <v>128</v>
      </c>
      <c r="C64" s="319"/>
      <c r="D64" s="319"/>
      <c r="E64" s="319"/>
      <c r="F64" s="319"/>
      <c r="G64" s="55">
        <v>0</v>
      </c>
      <c r="J64" s="69"/>
    </row>
    <row r="65" spans="1:14" ht="15.75" thickBot="1" x14ac:dyDescent="0.3">
      <c r="B65" s="70" t="s">
        <v>272</v>
      </c>
      <c r="C65" s="75" t="s">
        <v>129</v>
      </c>
      <c r="D65" s="128" t="s">
        <v>51</v>
      </c>
      <c r="E65" s="142">
        <f>+G65*0.8*0.9*0.95</f>
        <v>1.4464548000000002</v>
      </c>
      <c r="F65" s="128"/>
      <c r="G65" s="55">
        <v>2.1147</v>
      </c>
      <c r="H65" s="55" t="str">
        <f t="shared" si="1"/>
        <v>Anillo de Silicona p/ Espaciador</v>
      </c>
      <c r="I65" s="55">
        <v>13.2</v>
      </c>
      <c r="J65" s="69" t="str">
        <f t="shared" si="2"/>
        <v>235173</v>
      </c>
    </row>
    <row r="66" spans="1:14" ht="15.75" thickBot="1" x14ac:dyDescent="0.3">
      <c r="B66" s="117" t="s">
        <v>290</v>
      </c>
      <c r="C66" s="118" t="s">
        <v>130</v>
      </c>
      <c r="D66" s="119" t="s">
        <v>51</v>
      </c>
      <c r="E66" s="142">
        <f>+G66*0.8*0.9*0.95</f>
        <v>1.62336456</v>
      </c>
      <c r="F66" s="119"/>
      <c r="G66" s="55">
        <v>2.3733399999999998</v>
      </c>
      <c r="H66" s="55" t="str">
        <f t="shared" si="1"/>
        <v>Anillo de Silicona p/ Aislador de 15 y 33 KV.</v>
      </c>
      <c r="I66" s="55">
        <v>13.2</v>
      </c>
      <c r="J66" s="69" t="str">
        <f t="shared" si="2"/>
        <v>235170</v>
      </c>
    </row>
    <row r="67" spans="1:14" x14ac:dyDescent="0.25">
      <c r="G67" s="55">
        <v>0</v>
      </c>
      <c r="J67" s="69"/>
    </row>
    <row r="68" spans="1:14" s="14" customFormat="1" ht="16.5" thickBot="1" x14ac:dyDescent="0.3">
      <c r="A68" s="55"/>
      <c r="B68" s="309" t="s">
        <v>131</v>
      </c>
      <c r="C68" s="309"/>
      <c r="D68" s="309"/>
      <c r="E68" s="309"/>
      <c r="F68" s="309"/>
      <c r="G68" s="55">
        <v>0</v>
      </c>
      <c r="H68" s="55"/>
      <c r="I68" s="55"/>
      <c r="J68" s="69"/>
      <c r="K68" s="143"/>
      <c r="L68" s="143"/>
      <c r="M68" s="143"/>
      <c r="N68" s="143"/>
    </row>
    <row r="69" spans="1:14" s="14" customFormat="1" ht="15.75" thickBot="1" x14ac:dyDescent="0.3">
      <c r="A69" s="143"/>
      <c r="B69" s="66">
        <v>1080</v>
      </c>
      <c r="C69" s="65" t="s">
        <v>132</v>
      </c>
      <c r="D69" s="66" t="s">
        <v>51</v>
      </c>
      <c r="E69" s="67">
        <f t="shared" ref="E69:E72" si="11">+G69*0.8*0.9*0.95</f>
        <v>6.6341160000000015</v>
      </c>
      <c r="F69" s="66">
        <v>50</v>
      </c>
      <c r="G69" s="55">
        <v>9.6990000000000016</v>
      </c>
      <c r="H69" s="55" t="str">
        <f t="shared" si="1"/>
        <v>Aislador  MN 3</v>
      </c>
      <c r="I69" s="55">
        <v>13.2</v>
      </c>
      <c r="J69" s="69">
        <f t="shared" si="2"/>
        <v>1080</v>
      </c>
      <c r="K69" s="143"/>
      <c r="L69" s="143"/>
      <c r="M69" s="143"/>
      <c r="N69" s="143"/>
    </row>
    <row r="70" spans="1:14" s="14" customFormat="1" ht="15.75" thickBot="1" x14ac:dyDescent="0.3">
      <c r="A70" s="143"/>
      <c r="B70" s="72">
        <v>1081</v>
      </c>
      <c r="C70" s="71" t="s">
        <v>133</v>
      </c>
      <c r="D70" s="72" t="s">
        <v>51</v>
      </c>
      <c r="E70" s="67">
        <f t="shared" si="11"/>
        <v>7.6854240000000003</v>
      </c>
      <c r="F70" s="72">
        <v>50</v>
      </c>
      <c r="G70" s="55">
        <v>11.236000000000001</v>
      </c>
      <c r="H70" s="55" t="str">
        <f t="shared" si="1"/>
        <v>Aislador  MN 3 a</v>
      </c>
      <c r="I70" s="55">
        <v>13.2</v>
      </c>
      <c r="J70" s="69">
        <f t="shared" si="2"/>
        <v>1081</v>
      </c>
      <c r="K70" s="143"/>
      <c r="L70" s="143"/>
      <c r="M70" s="143"/>
      <c r="N70" s="143"/>
    </row>
    <row r="71" spans="1:14" s="14" customFormat="1" ht="15.75" thickBot="1" x14ac:dyDescent="0.3">
      <c r="A71" s="55"/>
      <c r="B71" s="76">
        <v>1082</v>
      </c>
      <c r="C71" s="71" t="s">
        <v>134</v>
      </c>
      <c r="D71" s="72" t="s">
        <v>51</v>
      </c>
      <c r="E71" s="67">
        <f t="shared" si="11"/>
        <v>7.2199483200000012</v>
      </c>
      <c r="F71" s="115"/>
      <c r="G71" s="55">
        <v>10.555480000000001</v>
      </c>
      <c r="H71" s="55" t="str">
        <f t="shared" ref="H71:H91" si="12">+C71</f>
        <v>Aislador Organico PRT p/ Perno Fijo 13,2 KV.</v>
      </c>
      <c r="I71" s="55">
        <v>13.2</v>
      </c>
      <c r="J71" s="69">
        <f t="shared" ref="J71:J120" si="13">+B71</f>
        <v>1082</v>
      </c>
      <c r="K71" s="143"/>
      <c r="L71" s="143"/>
      <c r="M71" s="143"/>
      <c r="N71" s="143"/>
    </row>
    <row r="72" spans="1:14" s="15" customFormat="1" ht="15.75" thickBot="1" x14ac:dyDescent="0.3">
      <c r="A72" s="143"/>
      <c r="B72" s="144" t="s">
        <v>135</v>
      </c>
      <c r="C72" s="145" t="s">
        <v>136</v>
      </c>
      <c r="D72" s="146" t="s">
        <v>51</v>
      </c>
      <c r="E72" s="67">
        <f t="shared" si="11"/>
        <v>13.757633999999999</v>
      </c>
      <c r="F72" s="146"/>
      <c r="G72" s="55">
        <v>20.113500000000002</v>
      </c>
      <c r="H72" s="55" t="str">
        <f t="shared" si="12"/>
        <v>Aislador Organico PRT  33 KV. p/ Perno Rigido</v>
      </c>
      <c r="I72" s="55">
        <v>33</v>
      </c>
      <c r="J72" s="69" t="str">
        <f t="shared" si="13"/>
        <v>1085</v>
      </c>
      <c r="K72" s="147"/>
      <c r="L72" s="147"/>
      <c r="M72" s="147"/>
      <c r="N72" s="147"/>
    </row>
    <row r="73" spans="1:14" s="14" customFormat="1" x14ac:dyDescent="0.25">
      <c r="A73" s="143"/>
      <c r="B73" s="148"/>
      <c r="C73" s="149"/>
      <c r="D73" s="150"/>
      <c r="E73" s="151"/>
      <c r="F73" s="150"/>
      <c r="G73" s="55">
        <v>0</v>
      </c>
      <c r="H73" s="55"/>
      <c r="I73" s="55"/>
      <c r="J73" s="69"/>
      <c r="K73" s="143"/>
      <c r="L73" s="143"/>
      <c r="M73" s="143"/>
      <c r="N73" s="143"/>
    </row>
    <row r="74" spans="1:14" s="14" customFormat="1" ht="16.5" thickBot="1" x14ac:dyDescent="0.3">
      <c r="A74" s="143"/>
      <c r="B74" s="152" t="s">
        <v>137</v>
      </c>
      <c r="C74" s="152"/>
      <c r="D74" s="153"/>
      <c r="E74" s="154"/>
      <c r="F74" s="153"/>
      <c r="G74" s="55">
        <v>0</v>
      </c>
      <c r="H74" s="55"/>
      <c r="I74" s="55"/>
      <c r="J74" s="69"/>
      <c r="K74" s="143"/>
      <c r="L74" s="143"/>
      <c r="M74" s="143"/>
      <c r="N74" s="143"/>
    </row>
    <row r="75" spans="1:14" s="14" customFormat="1" ht="48" x14ac:dyDescent="0.25">
      <c r="A75" s="143"/>
      <c r="B75" s="155">
        <v>1812</v>
      </c>
      <c r="C75" s="156" t="s">
        <v>138</v>
      </c>
      <c r="D75" s="157" t="s">
        <v>51</v>
      </c>
      <c r="E75" s="158">
        <f>+G75*0.8*0.9*0.95</f>
        <v>5.6574871200000008</v>
      </c>
      <c r="F75" s="157"/>
      <c r="G75" s="57">
        <v>8.2711800000000011</v>
      </c>
      <c r="H75" s="55" t="str">
        <f t="shared" si="12"/>
        <v>Perno Mn 411 Recto P/13,2 KV Cuerpo De Al Largo 180 Mm Cabeza De Plastico P/Mt 'Protegida Convencional Vastago Roscado 5/8 Incluye Tuerca Arandela Elast Y Plana</v>
      </c>
      <c r="I75" s="55">
        <v>13.2</v>
      </c>
      <c r="J75" s="69">
        <f t="shared" si="13"/>
        <v>1812</v>
      </c>
      <c r="K75" s="143"/>
      <c r="L75" s="143"/>
      <c r="M75" s="143"/>
      <c r="N75" s="143"/>
    </row>
    <row r="76" spans="1:14" s="14" customFormat="1" ht="48" x14ac:dyDescent="0.25">
      <c r="A76" s="143"/>
      <c r="B76" s="113">
        <v>1813</v>
      </c>
      <c r="C76" s="114" t="s">
        <v>139</v>
      </c>
      <c r="D76" s="115" t="s">
        <v>51</v>
      </c>
      <c r="E76" s="158">
        <f t="shared" ref="E76:E78" si="14">+G76*0.8*0.9*0.95</f>
        <v>9.5437015200000008</v>
      </c>
      <c r="F76" s="115"/>
      <c r="G76" s="57">
        <v>13.952780000000001</v>
      </c>
      <c r="H76" s="55" t="str">
        <f t="shared" si="12"/>
        <v>Perno Mn 414 Recto P/33 KV Cuerpo De Al Cabeza De Plastico Largo 180 Mm  P/Mt Protegida Convencional Vastago Roscado 3/4 Incluye Tuerca Arandela Elast Y Plana</v>
      </c>
      <c r="I76" s="55">
        <v>33</v>
      </c>
      <c r="J76" s="69">
        <f t="shared" si="13"/>
        <v>1813</v>
      </c>
      <c r="K76" s="143"/>
      <c r="L76" s="143"/>
      <c r="M76" s="143"/>
      <c r="N76" s="143"/>
    </row>
    <row r="77" spans="1:14" s="14" customFormat="1" ht="48" x14ac:dyDescent="0.25">
      <c r="A77" s="143"/>
      <c r="B77" s="113">
        <v>1814</v>
      </c>
      <c r="C77" s="114" t="s">
        <v>140</v>
      </c>
      <c r="D77" s="115" t="s">
        <v>51</v>
      </c>
      <c r="E77" s="158">
        <f t="shared" si="14"/>
        <v>5.0665795200000003</v>
      </c>
      <c r="F77" s="115"/>
      <c r="G77" s="57">
        <v>7.407280000000001</v>
      </c>
      <c r="H77" s="55" t="str">
        <f t="shared" si="12"/>
        <v>Perno Mn 411 Recto P/13,2 KV Cuerpo De Al Cabeza De Plastico Largo 80 Mm V Roscado 5/8 P/Herrajes Compacta Incluye Tuerca Arandela Elast Y Plana</v>
      </c>
      <c r="I77" s="55">
        <v>13.2</v>
      </c>
      <c r="J77" s="69">
        <f t="shared" si="13"/>
        <v>1814</v>
      </c>
      <c r="K77" s="143"/>
      <c r="L77" s="143"/>
      <c r="M77" s="143"/>
      <c r="N77" s="143"/>
    </row>
    <row r="78" spans="1:14" s="14" customFormat="1" ht="36.75" thickBot="1" x14ac:dyDescent="0.3">
      <c r="A78" s="143"/>
      <c r="B78" s="144">
        <v>1815</v>
      </c>
      <c r="C78" s="145" t="s">
        <v>141</v>
      </c>
      <c r="D78" s="146" t="s">
        <v>51</v>
      </c>
      <c r="E78" s="158">
        <f t="shared" si="14"/>
        <v>8.6838040800000016</v>
      </c>
      <c r="F78" s="146"/>
      <c r="G78" s="57">
        <v>12.695620000000002</v>
      </c>
      <c r="H78" s="55" t="str">
        <f t="shared" si="12"/>
        <v>Perno Mn 414 Recto P/33 KV Cuerpo De Al Cabeza De Plastico Largo 80mm P/Herrajes De Compacta Incluye Tuerca Arandela Elast Y Plana</v>
      </c>
      <c r="I78" s="55">
        <v>33</v>
      </c>
      <c r="J78" s="69">
        <f t="shared" si="13"/>
        <v>1815</v>
      </c>
      <c r="K78" s="143"/>
      <c r="L78" s="143"/>
      <c r="M78" s="143"/>
      <c r="N78" s="143"/>
    </row>
    <row r="79" spans="1:14" s="14" customFormat="1" x14ac:dyDescent="0.25">
      <c r="A79" s="143"/>
      <c r="B79" s="148"/>
      <c r="C79" s="149"/>
      <c r="D79" s="150"/>
      <c r="E79" s="151"/>
      <c r="F79" s="150"/>
      <c r="G79" s="55">
        <v>0</v>
      </c>
      <c r="H79" s="55">
        <f t="shared" si="12"/>
        <v>0</v>
      </c>
      <c r="I79" s="55">
        <v>13.2</v>
      </c>
      <c r="J79" s="69">
        <f t="shared" si="13"/>
        <v>0</v>
      </c>
      <c r="K79" s="143"/>
      <c r="L79" s="143"/>
      <c r="M79" s="143"/>
      <c r="N79" s="143"/>
    </row>
    <row r="80" spans="1:14" s="14" customFormat="1" x14ac:dyDescent="0.25">
      <c r="A80" s="143"/>
      <c r="B80" s="148"/>
      <c r="C80" s="149"/>
      <c r="D80" s="150"/>
      <c r="E80" s="151"/>
      <c r="F80" s="150"/>
      <c r="G80" s="55">
        <v>0</v>
      </c>
      <c r="H80" s="55">
        <f t="shared" si="12"/>
        <v>0</v>
      </c>
      <c r="I80" s="55">
        <v>13.2</v>
      </c>
      <c r="J80" s="69">
        <f t="shared" si="13"/>
        <v>0</v>
      </c>
      <c r="K80" s="143"/>
      <c r="L80" s="143"/>
      <c r="M80" s="143"/>
      <c r="N80" s="143"/>
    </row>
    <row r="81" spans="1:14" s="14" customFormat="1" x14ac:dyDescent="0.25">
      <c r="A81" s="143"/>
      <c r="B81" s="148"/>
      <c r="C81" s="149"/>
      <c r="D81" s="150"/>
      <c r="E81" s="151"/>
      <c r="F81" s="150"/>
      <c r="G81" s="55">
        <v>0</v>
      </c>
      <c r="H81" s="55">
        <f t="shared" si="12"/>
        <v>0</v>
      </c>
      <c r="I81" s="55">
        <v>13.2</v>
      </c>
      <c r="J81" s="69">
        <f t="shared" si="13"/>
        <v>0</v>
      </c>
      <c r="K81" s="143"/>
      <c r="L81" s="143"/>
      <c r="M81" s="143"/>
      <c r="N81" s="143"/>
    </row>
    <row r="82" spans="1:14" s="14" customFormat="1" x14ac:dyDescent="0.25">
      <c r="A82" s="143"/>
      <c r="B82" s="148"/>
      <c r="C82" s="149"/>
      <c r="D82" s="150"/>
      <c r="E82" s="151"/>
      <c r="F82" s="150"/>
      <c r="G82" s="55">
        <v>0</v>
      </c>
      <c r="H82" s="55">
        <f t="shared" si="12"/>
        <v>0</v>
      </c>
      <c r="I82" s="55">
        <v>13.2</v>
      </c>
      <c r="J82" s="69">
        <f t="shared" si="13"/>
        <v>0</v>
      </c>
      <c r="K82" s="143"/>
      <c r="L82" s="143"/>
      <c r="M82" s="143"/>
      <c r="N82" s="143"/>
    </row>
    <row r="83" spans="1:14" x14ac:dyDescent="0.25">
      <c r="A83" s="143"/>
      <c r="B83" s="132" t="s">
        <v>44</v>
      </c>
      <c r="C83" s="133" t="s">
        <v>45</v>
      </c>
      <c r="D83" s="133" t="s">
        <v>46</v>
      </c>
      <c r="E83" s="134" t="s">
        <v>47</v>
      </c>
      <c r="F83" s="133" t="s">
        <v>48</v>
      </c>
      <c r="G83" s="55">
        <v>0</v>
      </c>
      <c r="H83" s="55" t="str">
        <f t="shared" si="12"/>
        <v xml:space="preserve"> DESCRIPCION  </v>
      </c>
      <c r="I83" s="55">
        <v>13.2</v>
      </c>
      <c r="J83" s="69" t="str">
        <f t="shared" si="13"/>
        <v xml:space="preserve">COD                                                                                                                          </v>
      </c>
    </row>
    <row r="84" spans="1:14" x14ac:dyDescent="0.25">
      <c r="A84" s="143"/>
      <c r="B84" s="148"/>
      <c r="C84" s="149"/>
      <c r="D84" s="150"/>
      <c r="E84" s="151"/>
      <c r="F84" s="150"/>
      <c r="G84" s="55">
        <v>0</v>
      </c>
      <c r="J84" s="69"/>
    </row>
    <row r="85" spans="1:14" ht="16.5" thickBot="1" x14ac:dyDescent="0.3">
      <c r="B85" s="159" t="s">
        <v>142</v>
      </c>
      <c r="C85" s="159"/>
      <c r="D85" s="159"/>
      <c r="E85" s="160"/>
      <c r="F85" s="161"/>
      <c r="G85" s="55">
        <v>0</v>
      </c>
      <c r="J85" s="69"/>
    </row>
    <row r="86" spans="1:14" ht="15.75" thickBot="1" x14ac:dyDescent="0.3">
      <c r="B86" s="64">
        <v>7700</v>
      </c>
      <c r="C86" s="65" t="s">
        <v>143</v>
      </c>
      <c r="D86" s="66" t="s">
        <v>51</v>
      </c>
      <c r="E86" s="67">
        <f>+G86*0.8*0.9*0.95</f>
        <v>19.109879280000001</v>
      </c>
      <c r="F86" s="128"/>
      <c r="G86" s="55">
        <v>27.938420000000001</v>
      </c>
      <c r="H86" s="55" t="str">
        <f t="shared" si="12"/>
        <v>Brazo de Hierro Tipo J Soporte p/ Poste de Desvio</v>
      </c>
      <c r="I86" s="55">
        <v>13.2</v>
      </c>
      <c r="J86" s="69">
        <f t="shared" si="13"/>
        <v>7700</v>
      </c>
    </row>
    <row r="87" spans="1:14" ht="15.75" thickBot="1" x14ac:dyDescent="0.3">
      <c r="B87" s="76">
        <v>235001</v>
      </c>
      <c r="C87" s="71" t="s">
        <v>144</v>
      </c>
      <c r="D87" s="72" t="s">
        <v>51</v>
      </c>
      <c r="E87" s="67">
        <f>15.585*0.95</f>
        <v>14.80575</v>
      </c>
      <c r="F87" s="72"/>
      <c r="G87" s="55">
        <v>21.331440000000001</v>
      </c>
      <c r="H87" s="55" t="str">
        <f t="shared" si="12"/>
        <v>Brazo Tipo C Soporte p/ Retención</v>
      </c>
      <c r="I87" s="55">
        <v>13.2</v>
      </c>
      <c r="J87" s="69">
        <f t="shared" si="13"/>
        <v>235001</v>
      </c>
    </row>
    <row r="88" spans="1:14" ht="15.75" thickBot="1" x14ac:dyDescent="0.3">
      <c r="B88" s="70">
        <v>7702</v>
      </c>
      <c r="C88" s="71" t="s">
        <v>145</v>
      </c>
      <c r="D88" s="72" t="s">
        <v>51</v>
      </c>
      <c r="E88" s="67">
        <f t="shared" ref="E88:E92" si="15">+G88*0.8*0.9*0.95</f>
        <v>31.074489360000005</v>
      </c>
      <c r="F88" s="72"/>
      <c r="G88" s="55">
        <v>45.430540000000008</v>
      </c>
      <c r="H88" s="55" t="str">
        <f t="shared" si="12"/>
        <v>Brazo Tipo L Auxiliar</v>
      </c>
      <c r="I88" s="55">
        <v>13.2</v>
      </c>
      <c r="J88" s="69">
        <f t="shared" si="13"/>
        <v>7702</v>
      </c>
    </row>
    <row r="89" spans="1:14" ht="15.75" thickBot="1" x14ac:dyDescent="0.3">
      <c r="B89" s="76">
        <v>235020</v>
      </c>
      <c r="C89" s="71" t="s">
        <v>146</v>
      </c>
      <c r="D89" s="72" t="s">
        <v>51</v>
      </c>
      <c r="E89" s="67">
        <f t="shared" si="15"/>
        <v>8.7041052000000008</v>
      </c>
      <c r="F89" s="72"/>
      <c r="G89" s="55">
        <v>12.725300000000001</v>
      </c>
      <c r="H89" s="55" t="str">
        <f t="shared" si="12"/>
        <v>Soporte Auxiliar Tipo Angulo / Brazo J/C</v>
      </c>
      <c r="I89" s="55">
        <v>13.2</v>
      </c>
      <c r="J89" s="69">
        <f t="shared" si="13"/>
        <v>235020</v>
      </c>
    </row>
    <row r="90" spans="1:14" ht="24.75" thickBot="1" x14ac:dyDescent="0.3">
      <c r="B90" s="76">
        <v>235050</v>
      </c>
      <c r="C90" s="71" t="s">
        <v>147</v>
      </c>
      <c r="D90" s="72" t="s">
        <v>51</v>
      </c>
      <c r="E90" s="67">
        <f t="shared" si="15"/>
        <v>3.7723831200000006</v>
      </c>
      <c r="F90" s="162"/>
      <c r="G90" s="55">
        <v>5.5151800000000009</v>
      </c>
      <c r="H90" s="55" t="str">
        <f t="shared" si="12"/>
        <v>Mensula de Soporte p/ Brazo Antibalanceo Herraje de Fijación</v>
      </c>
      <c r="I90" s="55">
        <v>13.2</v>
      </c>
      <c r="J90" s="69">
        <f t="shared" si="13"/>
        <v>235050</v>
      </c>
    </row>
    <row r="91" spans="1:14" ht="24.75" thickBot="1" x14ac:dyDescent="0.3">
      <c r="B91" s="117">
        <v>7721</v>
      </c>
      <c r="C91" s="118" t="s">
        <v>297</v>
      </c>
      <c r="D91" s="119" t="s">
        <v>51</v>
      </c>
      <c r="E91" s="67">
        <f t="shared" si="15"/>
        <v>23.866866720000001</v>
      </c>
      <c r="F91" s="163"/>
      <c r="G91" s="55">
        <v>34.893079999999998</v>
      </c>
      <c r="H91" s="55" t="str">
        <f t="shared" si="12"/>
        <v>* Conjunto de Brazo C con Soporte Auxiliar (7701 + 7720) INCLUYE buloneria</v>
      </c>
      <c r="I91" s="55">
        <v>13.2</v>
      </c>
      <c r="J91" s="69">
        <f t="shared" si="13"/>
        <v>7721</v>
      </c>
    </row>
    <row r="92" spans="1:14" ht="15" customHeight="1" x14ac:dyDescent="0.25">
      <c r="A92" s="221"/>
      <c r="B92" s="222">
        <v>7755</v>
      </c>
      <c r="C92" s="223" t="s">
        <v>147</v>
      </c>
      <c r="D92" s="224" t="s">
        <v>51</v>
      </c>
      <c r="E92" s="67">
        <f t="shared" si="15"/>
        <v>3.7723831200000006</v>
      </c>
      <c r="F92" s="225"/>
      <c r="G92" s="55">
        <v>5.5151800000000009</v>
      </c>
      <c r="H92" s="13"/>
      <c r="I92" s="13"/>
      <c r="J92" s="13"/>
      <c r="K92" s="13"/>
      <c r="L92" s="13"/>
      <c r="M92" s="13"/>
      <c r="N92" s="13"/>
    </row>
    <row r="93" spans="1:14" x14ac:dyDescent="0.25">
      <c r="G93" s="55">
        <v>0</v>
      </c>
      <c r="J93" s="69"/>
    </row>
    <row r="94" spans="1:14" ht="16.5" thickBot="1" x14ac:dyDescent="0.3">
      <c r="B94" s="164" t="s">
        <v>148</v>
      </c>
      <c r="C94" s="164"/>
      <c r="D94" s="164"/>
      <c r="E94" s="165"/>
      <c r="F94" s="166"/>
      <c r="G94" s="55">
        <v>0</v>
      </c>
      <c r="J94" s="69"/>
    </row>
    <row r="95" spans="1:14" ht="24" x14ac:dyDescent="0.25">
      <c r="B95" s="129">
        <v>7830</v>
      </c>
      <c r="C95" s="130" t="s">
        <v>149</v>
      </c>
      <c r="D95" s="131" t="s">
        <v>51</v>
      </c>
      <c r="E95" s="100">
        <f>+G95*0.9*0.8*0.95</f>
        <v>5.9257519200000006</v>
      </c>
      <c r="F95" s="131" t="s">
        <v>150</v>
      </c>
      <c r="G95" s="57">
        <v>8.6633800000000001</v>
      </c>
      <c r="H95" s="55">
        <v>50</v>
      </c>
      <c r="I95" s="55">
        <v>13.2</v>
      </c>
      <c r="J95" s="69">
        <f t="shared" si="13"/>
        <v>7830</v>
      </c>
    </row>
    <row r="96" spans="1:14" ht="24" x14ac:dyDescent="0.25">
      <c r="B96" s="135">
        <v>7831</v>
      </c>
      <c r="C96" s="136" t="s">
        <v>151</v>
      </c>
      <c r="D96" s="137" t="s">
        <v>51</v>
      </c>
      <c r="E96" s="100">
        <f t="shared" ref="E96:E113" si="16">+G96*0.9*0.8*0.95</f>
        <v>6.146164080000001</v>
      </c>
      <c r="F96" s="137" t="s">
        <v>150</v>
      </c>
      <c r="G96" s="57">
        <v>8.9856200000000008</v>
      </c>
      <c r="H96" s="55">
        <v>70</v>
      </c>
      <c r="I96" s="55">
        <v>13.2</v>
      </c>
      <c r="J96" s="69">
        <f t="shared" si="13"/>
        <v>7831</v>
      </c>
    </row>
    <row r="97" spans="2:10" ht="24" x14ac:dyDescent="0.25">
      <c r="B97" s="104">
        <v>7832</v>
      </c>
      <c r="C97" s="126" t="s">
        <v>152</v>
      </c>
      <c r="D97" s="106" t="s">
        <v>51</v>
      </c>
      <c r="E97" s="100">
        <f t="shared" si="16"/>
        <v>7.4882131200000002</v>
      </c>
      <c r="F97" s="106" t="s">
        <v>150</v>
      </c>
      <c r="G97" s="57">
        <v>10.94768</v>
      </c>
      <c r="H97" s="55">
        <v>95</v>
      </c>
      <c r="I97" s="55">
        <v>13.2</v>
      </c>
      <c r="J97" s="69">
        <f t="shared" si="13"/>
        <v>7832</v>
      </c>
    </row>
    <row r="98" spans="2:10" ht="24" x14ac:dyDescent="0.25">
      <c r="B98" s="129">
        <v>7833</v>
      </c>
      <c r="C98" s="130" t="s">
        <v>153</v>
      </c>
      <c r="D98" s="131" t="s">
        <v>51</v>
      </c>
      <c r="E98" s="100">
        <f t="shared" si="16"/>
        <v>7.5614421600000012</v>
      </c>
      <c r="F98" s="131" t="s">
        <v>150</v>
      </c>
      <c r="G98" s="57">
        <v>11.054740000000001</v>
      </c>
      <c r="J98" s="69"/>
    </row>
    <row r="99" spans="2:10" ht="24" x14ac:dyDescent="0.25">
      <c r="B99" s="104">
        <v>7834</v>
      </c>
      <c r="C99" s="126" t="s">
        <v>154</v>
      </c>
      <c r="D99" s="106" t="s">
        <v>51</v>
      </c>
      <c r="E99" s="100">
        <f t="shared" si="16"/>
        <v>8.8483881600000025</v>
      </c>
      <c r="F99" s="106" t="s">
        <v>150</v>
      </c>
      <c r="G99" s="57">
        <v>12.936240000000002</v>
      </c>
      <c r="J99" s="69"/>
    </row>
    <row r="100" spans="2:10" ht="24" x14ac:dyDescent="0.25">
      <c r="B100" s="129">
        <v>7835</v>
      </c>
      <c r="C100" s="130" t="s">
        <v>155</v>
      </c>
      <c r="D100" s="131" t="s">
        <v>51</v>
      </c>
      <c r="E100" s="100">
        <f t="shared" si="16"/>
        <v>9.3421403999999999</v>
      </c>
      <c r="F100" s="131" t="s">
        <v>150</v>
      </c>
      <c r="G100" s="57">
        <v>13.658100000000001</v>
      </c>
      <c r="J100" s="69"/>
    </row>
    <row r="101" spans="2:10" ht="24" x14ac:dyDescent="0.25">
      <c r="B101" s="104">
        <v>7836</v>
      </c>
      <c r="C101" s="126" t="s">
        <v>156</v>
      </c>
      <c r="D101" s="106" t="s">
        <v>51</v>
      </c>
      <c r="E101" s="100">
        <f t="shared" si="16"/>
        <v>12.0827916</v>
      </c>
      <c r="F101" s="106" t="s">
        <v>150</v>
      </c>
      <c r="G101" s="57">
        <v>17.664899999999999</v>
      </c>
      <c r="J101" s="69"/>
    </row>
    <row r="102" spans="2:10" ht="24" x14ac:dyDescent="0.25">
      <c r="B102" s="78">
        <v>7837</v>
      </c>
      <c r="C102" s="79" t="s">
        <v>157</v>
      </c>
      <c r="D102" s="80" t="s">
        <v>51</v>
      </c>
      <c r="E102" s="100">
        <f t="shared" si="16"/>
        <v>12.15674568</v>
      </c>
      <c r="F102" s="80" t="s">
        <v>150</v>
      </c>
      <c r="G102" s="57">
        <v>17.773019999999999</v>
      </c>
      <c r="J102" s="69"/>
    </row>
    <row r="103" spans="2:10" x14ac:dyDescent="0.25">
      <c r="B103" s="70"/>
      <c r="C103" s="75"/>
      <c r="D103" s="128"/>
      <c r="E103" s="100"/>
      <c r="F103" s="162"/>
      <c r="G103" s="57">
        <v>0</v>
      </c>
      <c r="J103" s="69"/>
    </row>
    <row r="104" spans="2:10" ht="24" x14ac:dyDescent="0.25">
      <c r="B104" s="82">
        <v>7850</v>
      </c>
      <c r="C104" s="83" t="s">
        <v>158</v>
      </c>
      <c r="D104" s="84" t="s">
        <v>51</v>
      </c>
      <c r="E104" s="100">
        <f t="shared" si="16"/>
        <v>4.5844279200000004</v>
      </c>
      <c r="G104" s="57">
        <v>6.7023800000000007</v>
      </c>
      <c r="J104" s="69"/>
    </row>
    <row r="105" spans="2:10" ht="24" x14ac:dyDescent="0.25">
      <c r="B105" s="104">
        <v>7851</v>
      </c>
      <c r="C105" s="126" t="s">
        <v>159</v>
      </c>
      <c r="D105" s="106" t="s">
        <v>51</v>
      </c>
      <c r="E105" s="100">
        <f t="shared" si="16"/>
        <v>4.7859890400000005</v>
      </c>
      <c r="F105" s="106" t="s">
        <v>150</v>
      </c>
      <c r="G105" s="57">
        <v>6.9970600000000003</v>
      </c>
      <c r="H105" s="55">
        <v>35</v>
      </c>
      <c r="I105" s="55">
        <v>13.2</v>
      </c>
      <c r="J105" s="69">
        <f t="shared" si="13"/>
        <v>7851</v>
      </c>
    </row>
    <row r="106" spans="2:10" ht="24" x14ac:dyDescent="0.25">
      <c r="B106" s="76">
        <v>235152</v>
      </c>
      <c r="C106" s="71" t="s">
        <v>160</v>
      </c>
      <c r="D106" s="72" t="s">
        <v>51</v>
      </c>
      <c r="E106" s="100">
        <f>8.381*0.9*0.95*0.8</f>
        <v>5.7326040000000003</v>
      </c>
      <c r="F106" s="72"/>
      <c r="G106" s="57">
        <v>8.6633800000000001</v>
      </c>
      <c r="H106" s="55">
        <v>50</v>
      </c>
      <c r="I106" s="55">
        <v>13.2</v>
      </c>
      <c r="J106" s="69">
        <f t="shared" si="13"/>
        <v>235152</v>
      </c>
    </row>
    <row r="107" spans="2:10" ht="24" x14ac:dyDescent="0.25">
      <c r="B107" s="76">
        <v>7853</v>
      </c>
      <c r="C107" s="71" t="s">
        <v>161</v>
      </c>
      <c r="D107" s="72" t="s">
        <v>51</v>
      </c>
      <c r="E107" s="100">
        <f t="shared" si="16"/>
        <v>6.146164080000001</v>
      </c>
      <c r="F107" s="72" t="s">
        <v>162</v>
      </c>
      <c r="G107" s="57">
        <v>8.9856200000000008</v>
      </c>
      <c r="H107" s="55">
        <v>70</v>
      </c>
      <c r="I107" s="55">
        <v>13.2</v>
      </c>
      <c r="J107" s="69">
        <f t="shared" si="13"/>
        <v>7853</v>
      </c>
    </row>
    <row r="108" spans="2:10" ht="24" x14ac:dyDescent="0.25">
      <c r="B108" s="76">
        <v>7854</v>
      </c>
      <c r="C108" s="71" t="s">
        <v>163</v>
      </c>
      <c r="D108" s="72" t="s">
        <v>51</v>
      </c>
      <c r="E108" s="100">
        <f t="shared" si="16"/>
        <v>7.4882131200000002</v>
      </c>
      <c r="F108" s="72" t="s">
        <v>162</v>
      </c>
      <c r="G108" s="57">
        <v>10.94768</v>
      </c>
      <c r="H108" s="55">
        <v>95</v>
      </c>
      <c r="I108" s="55">
        <v>13.2</v>
      </c>
      <c r="J108" s="69">
        <f t="shared" si="13"/>
        <v>7854</v>
      </c>
    </row>
    <row r="109" spans="2:10" ht="24" x14ac:dyDescent="0.25">
      <c r="B109" s="76">
        <v>7855</v>
      </c>
      <c r="C109" s="71" t="s">
        <v>164</v>
      </c>
      <c r="D109" s="72" t="s">
        <v>51</v>
      </c>
      <c r="E109" s="100">
        <f t="shared" si="16"/>
        <v>7.5614421600000012</v>
      </c>
      <c r="F109" s="137" t="s">
        <v>150</v>
      </c>
      <c r="G109" s="57">
        <v>11.054740000000001</v>
      </c>
      <c r="J109" s="69"/>
    </row>
    <row r="110" spans="2:10" ht="24" x14ac:dyDescent="0.25">
      <c r="B110" s="82" t="s">
        <v>165</v>
      </c>
      <c r="C110" s="83" t="s">
        <v>166</v>
      </c>
      <c r="D110" s="84" t="s">
        <v>51</v>
      </c>
      <c r="E110" s="100">
        <f t="shared" si="16"/>
        <v>8.8483881600000025</v>
      </c>
      <c r="F110" s="106" t="s">
        <v>150</v>
      </c>
      <c r="G110" s="57">
        <v>12.936240000000002</v>
      </c>
      <c r="J110" s="69"/>
    </row>
    <row r="111" spans="2:10" ht="24" x14ac:dyDescent="0.25">
      <c r="B111" s="104" t="s">
        <v>167</v>
      </c>
      <c r="C111" s="126" t="s">
        <v>168</v>
      </c>
      <c r="D111" s="106" t="s">
        <v>51</v>
      </c>
      <c r="E111" s="100">
        <f t="shared" si="16"/>
        <v>9.3443155200000021</v>
      </c>
      <c r="F111" s="106" t="s">
        <v>150</v>
      </c>
      <c r="G111" s="57">
        <v>13.661280000000001</v>
      </c>
      <c r="J111" s="69"/>
    </row>
    <row r="112" spans="2:10" ht="24" x14ac:dyDescent="0.25">
      <c r="B112" s="104" t="s">
        <v>169</v>
      </c>
      <c r="C112" s="126" t="s">
        <v>170</v>
      </c>
      <c r="D112" s="106" t="s">
        <v>51</v>
      </c>
      <c r="E112" s="100">
        <f t="shared" si="16"/>
        <v>12.0827916</v>
      </c>
      <c r="F112" s="162"/>
      <c r="G112" s="57">
        <v>17.664899999999999</v>
      </c>
      <c r="J112" s="69"/>
    </row>
    <row r="113" spans="1:14" ht="24.75" thickBot="1" x14ac:dyDescent="0.3">
      <c r="B113" s="108" t="s">
        <v>171</v>
      </c>
      <c r="C113" s="167" t="s">
        <v>172</v>
      </c>
      <c r="D113" s="109" t="s">
        <v>51</v>
      </c>
      <c r="E113" s="100">
        <f t="shared" si="16"/>
        <v>12.15674568</v>
      </c>
      <c r="F113" s="163"/>
      <c r="G113" s="57">
        <v>17.773019999999999</v>
      </c>
      <c r="J113" s="69"/>
    </row>
    <row r="114" spans="1:14" x14ac:dyDescent="0.25">
      <c r="F114" s="99"/>
      <c r="G114" s="55">
        <v>0</v>
      </c>
      <c r="J114" s="69"/>
    </row>
    <row r="115" spans="1:14" ht="16.5" thickBot="1" x14ac:dyDescent="0.3">
      <c r="B115" s="164" t="s">
        <v>173</v>
      </c>
      <c r="C115" s="164"/>
      <c r="D115" s="164"/>
      <c r="E115" s="165"/>
      <c r="F115" s="161"/>
      <c r="G115" s="55">
        <v>0</v>
      </c>
      <c r="J115" s="69"/>
    </row>
    <row r="116" spans="1:14" x14ac:dyDescent="0.25">
      <c r="B116" s="70">
        <v>7770</v>
      </c>
      <c r="C116" s="98" t="s">
        <v>298</v>
      </c>
      <c r="D116" s="128" t="s">
        <v>51</v>
      </c>
      <c r="E116" s="73">
        <f>+G116*0.8*0.9*0.95</f>
        <v>1.72632024</v>
      </c>
      <c r="F116" s="128"/>
      <c r="G116" s="55">
        <v>2.52386</v>
      </c>
      <c r="H116" s="55">
        <v>33</v>
      </c>
      <c r="I116" s="55">
        <v>25</v>
      </c>
      <c r="J116" s="69">
        <f t="shared" si="13"/>
        <v>7770</v>
      </c>
    </row>
    <row r="117" spans="1:14" x14ac:dyDescent="0.25">
      <c r="B117" s="76">
        <v>7771</v>
      </c>
      <c r="C117" s="71" t="s">
        <v>299</v>
      </c>
      <c r="D117" s="72" t="s">
        <v>51</v>
      </c>
      <c r="E117" s="73">
        <f t="shared" ref="E117:E120" si="17">+G117*0.8*0.9*0.95</f>
        <v>1.72632024</v>
      </c>
      <c r="F117" s="72"/>
      <c r="G117" s="55">
        <v>2.52386</v>
      </c>
      <c r="H117" s="55">
        <v>33</v>
      </c>
      <c r="I117" s="55">
        <v>35</v>
      </c>
      <c r="J117" s="69">
        <f t="shared" si="13"/>
        <v>7771</v>
      </c>
    </row>
    <row r="118" spans="1:14" s="16" customFormat="1" x14ac:dyDescent="0.25">
      <c r="A118" s="55"/>
      <c r="B118" s="76">
        <v>7772</v>
      </c>
      <c r="C118" s="71" t="s">
        <v>300</v>
      </c>
      <c r="D118" s="72" t="s">
        <v>51</v>
      </c>
      <c r="E118" s="73">
        <f t="shared" si="17"/>
        <v>1.72632024</v>
      </c>
      <c r="F118" s="72"/>
      <c r="G118" s="55">
        <v>2.52386</v>
      </c>
      <c r="H118" s="55">
        <v>33</v>
      </c>
      <c r="I118" s="55">
        <v>50</v>
      </c>
      <c r="J118" s="69">
        <f t="shared" si="13"/>
        <v>7772</v>
      </c>
      <c r="K118" s="168"/>
      <c r="L118" s="168"/>
      <c r="M118" s="168"/>
      <c r="N118" s="168"/>
    </row>
    <row r="119" spans="1:14" s="16" customFormat="1" x14ac:dyDescent="0.25">
      <c r="A119" s="55"/>
      <c r="B119" s="76">
        <v>7773</v>
      </c>
      <c r="C119" s="71" t="s">
        <v>301</v>
      </c>
      <c r="D119" s="72" t="s">
        <v>51</v>
      </c>
      <c r="E119" s="73">
        <f t="shared" si="17"/>
        <v>1.72632024</v>
      </c>
      <c r="F119" s="72"/>
      <c r="G119" s="55">
        <v>2.52386</v>
      </c>
      <c r="H119" s="55">
        <v>33</v>
      </c>
      <c r="I119" s="55">
        <v>70</v>
      </c>
      <c r="J119" s="69">
        <f t="shared" si="13"/>
        <v>7773</v>
      </c>
      <c r="K119" s="168"/>
      <c r="L119" s="168"/>
      <c r="M119" s="168"/>
      <c r="N119" s="168"/>
    </row>
    <row r="120" spans="1:14" x14ac:dyDescent="0.25">
      <c r="B120" s="70">
        <v>7774</v>
      </c>
      <c r="C120" s="75" t="s">
        <v>302</v>
      </c>
      <c r="D120" s="128" t="s">
        <v>51</v>
      </c>
      <c r="E120" s="73">
        <f t="shared" si="17"/>
        <v>1.72632024</v>
      </c>
      <c r="F120" s="72"/>
      <c r="G120" s="55">
        <v>2.52386</v>
      </c>
      <c r="H120" s="55">
        <v>33</v>
      </c>
      <c r="I120" s="55">
        <v>95</v>
      </c>
      <c r="J120" s="69">
        <f t="shared" si="13"/>
        <v>7774</v>
      </c>
    </row>
    <row r="121" spans="1:14" ht="15.75" thickBot="1" x14ac:dyDescent="0.3">
      <c r="B121" s="97"/>
      <c r="C121" s="98"/>
      <c r="D121" s="99"/>
      <c r="E121" s="100"/>
      <c r="F121" s="161"/>
      <c r="G121" s="55">
        <v>0</v>
      </c>
      <c r="J121" s="69"/>
    </row>
    <row r="122" spans="1:14" x14ac:dyDescent="0.25">
      <c r="B122" s="58" t="s">
        <v>44</v>
      </c>
      <c r="C122" s="59" t="s">
        <v>45</v>
      </c>
      <c r="D122" s="59" t="s">
        <v>46</v>
      </c>
      <c r="E122" s="60" t="s">
        <v>47</v>
      </c>
      <c r="F122" s="169" t="s">
        <v>48</v>
      </c>
      <c r="G122" s="55">
        <v>0</v>
      </c>
      <c r="J122" s="69"/>
    </row>
    <row r="123" spans="1:14" x14ac:dyDescent="0.25">
      <c r="B123" s="97"/>
      <c r="C123" s="98"/>
      <c r="D123" s="99"/>
      <c r="E123" s="100"/>
      <c r="F123" s="99"/>
      <c r="G123" s="55">
        <v>0</v>
      </c>
      <c r="J123" s="69"/>
    </row>
    <row r="124" spans="1:14" x14ac:dyDescent="0.25">
      <c r="B124" s="76">
        <v>7775</v>
      </c>
      <c r="C124" s="71" t="s">
        <v>303</v>
      </c>
      <c r="D124" s="72" t="s">
        <v>51</v>
      </c>
      <c r="E124" s="107">
        <v>1.659</v>
      </c>
      <c r="F124" s="162"/>
      <c r="G124" s="55">
        <v>2.52386</v>
      </c>
      <c r="J124" s="69"/>
    </row>
    <row r="125" spans="1:14" x14ac:dyDescent="0.25">
      <c r="B125" s="82">
        <v>7776</v>
      </c>
      <c r="C125" s="83" t="s">
        <v>304</v>
      </c>
      <c r="D125" s="84" t="s">
        <v>51</v>
      </c>
      <c r="E125" s="85">
        <v>1.659</v>
      </c>
      <c r="F125" s="84"/>
      <c r="G125" s="55">
        <v>2.52386</v>
      </c>
      <c r="J125" s="69"/>
    </row>
    <row r="126" spans="1:14" x14ac:dyDescent="0.25">
      <c r="B126" s="135">
        <v>7777</v>
      </c>
      <c r="C126" s="136" t="s">
        <v>305</v>
      </c>
      <c r="D126" s="137" t="s">
        <v>51</v>
      </c>
      <c r="E126" s="85">
        <v>1.9990000000000001</v>
      </c>
      <c r="F126" s="106" t="s">
        <v>150</v>
      </c>
      <c r="G126" s="55">
        <v>2.52386</v>
      </c>
      <c r="J126" s="69"/>
    </row>
    <row r="127" spans="1:14" x14ac:dyDescent="0.25">
      <c r="B127" s="104">
        <v>7778</v>
      </c>
      <c r="C127" s="126" t="s">
        <v>306</v>
      </c>
      <c r="D127" s="106" t="s">
        <v>51</v>
      </c>
      <c r="E127" s="107">
        <v>1.9990000000000001</v>
      </c>
      <c r="F127" s="106" t="s">
        <v>150</v>
      </c>
      <c r="G127" s="55">
        <v>2.52386</v>
      </c>
      <c r="J127" s="69"/>
    </row>
    <row r="128" spans="1:14" x14ac:dyDescent="0.25">
      <c r="B128" s="78">
        <v>7779</v>
      </c>
      <c r="C128" s="79" t="s">
        <v>307</v>
      </c>
      <c r="D128" s="80" t="s">
        <v>51</v>
      </c>
      <c r="E128" s="73">
        <v>1.9990000000000001</v>
      </c>
      <c r="F128" s="106" t="s">
        <v>150</v>
      </c>
      <c r="G128" s="55">
        <v>2.52386</v>
      </c>
      <c r="J128" s="69"/>
    </row>
    <row r="129" spans="2:13" x14ac:dyDescent="0.25">
      <c r="B129" s="82"/>
      <c r="C129" s="83"/>
      <c r="D129" s="84"/>
      <c r="E129" s="85"/>
      <c r="F129" s="84"/>
      <c r="G129" s="55" t="e">
        <v>#N/A</v>
      </c>
      <c r="J129" s="69"/>
    </row>
    <row r="130" spans="2:13" ht="16.5" thickBot="1" x14ac:dyDescent="0.3">
      <c r="B130" s="164" t="s">
        <v>174</v>
      </c>
      <c r="C130" s="164"/>
      <c r="D130" s="164"/>
      <c r="E130" s="165"/>
      <c r="F130" s="161"/>
      <c r="G130" s="55">
        <v>0</v>
      </c>
      <c r="J130" s="69"/>
    </row>
    <row r="131" spans="2:13" ht="25.5" x14ac:dyDescent="0.25">
      <c r="B131" s="70">
        <v>7780</v>
      </c>
      <c r="C131" s="75" t="s">
        <v>308</v>
      </c>
      <c r="D131" s="128" t="s">
        <v>51</v>
      </c>
      <c r="E131" s="73">
        <v>1.22</v>
      </c>
      <c r="F131" s="128"/>
      <c r="G131" s="55">
        <v>1.7998800000000001</v>
      </c>
      <c r="K131" s="55">
        <v>13.2</v>
      </c>
      <c r="L131" s="55">
        <v>25</v>
      </c>
      <c r="M131" s="69">
        <f>+B131</f>
        <v>7780</v>
      </c>
    </row>
    <row r="132" spans="2:13" ht="25.5" x14ac:dyDescent="0.25">
      <c r="B132" s="76">
        <v>7781</v>
      </c>
      <c r="C132" s="71" t="s">
        <v>309</v>
      </c>
      <c r="D132" s="72" t="s">
        <v>51</v>
      </c>
      <c r="E132" s="73">
        <v>1.22</v>
      </c>
      <c r="F132" s="84"/>
      <c r="G132" s="55">
        <v>1.7998800000000001</v>
      </c>
      <c r="K132" s="55">
        <v>13.2</v>
      </c>
      <c r="L132" s="55">
        <v>35</v>
      </c>
      <c r="M132" s="69">
        <f>+B132</f>
        <v>7781</v>
      </c>
    </row>
    <row r="133" spans="2:13" ht="25.5" x14ac:dyDescent="0.25">
      <c r="B133" s="76">
        <v>235100</v>
      </c>
      <c r="C133" s="83" t="s">
        <v>310</v>
      </c>
      <c r="D133" s="72" t="s">
        <v>51</v>
      </c>
      <c r="E133" s="73">
        <v>1.22</v>
      </c>
      <c r="F133" s="84"/>
      <c r="G133" s="55">
        <v>1.7998800000000001</v>
      </c>
      <c r="J133" s="55">
        <v>235100</v>
      </c>
      <c r="K133" s="55">
        <v>13.2</v>
      </c>
      <c r="L133" s="55">
        <v>50</v>
      </c>
      <c r="M133" s="69">
        <f>+B133</f>
        <v>235100</v>
      </c>
    </row>
    <row r="134" spans="2:13" ht="25.5" x14ac:dyDescent="0.25">
      <c r="B134" s="82">
        <v>7783</v>
      </c>
      <c r="C134" s="83" t="s">
        <v>311</v>
      </c>
      <c r="D134" s="84" t="s">
        <v>51</v>
      </c>
      <c r="E134" s="73">
        <v>1.22</v>
      </c>
      <c r="F134" s="72"/>
      <c r="G134" s="55">
        <v>1.7998800000000001</v>
      </c>
      <c r="K134" s="55">
        <v>13.2</v>
      </c>
      <c r="L134" s="55">
        <v>70</v>
      </c>
      <c r="M134" s="69">
        <f>+B134</f>
        <v>7783</v>
      </c>
    </row>
    <row r="135" spans="2:13" ht="25.5" x14ac:dyDescent="0.25">
      <c r="B135" s="82">
        <v>7784</v>
      </c>
      <c r="C135" s="83" t="s">
        <v>312</v>
      </c>
      <c r="D135" s="84" t="s">
        <v>51</v>
      </c>
      <c r="E135" s="73">
        <v>1.22</v>
      </c>
      <c r="F135" s="131"/>
      <c r="G135" s="55">
        <v>1.7998800000000001</v>
      </c>
      <c r="K135" s="55">
        <v>13.2</v>
      </c>
      <c r="L135" s="55">
        <v>95</v>
      </c>
      <c r="M135" s="69">
        <f>+B135</f>
        <v>7784</v>
      </c>
    </row>
    <row r="136" spans="2:13" x14ac:dyDescent="0.25">
      <c r="B136" s="76">
        <v>7785</v>
      </c>
      <c r="C136" s="71" t="s">
        <v>313</v>
      </c>
      <c r="D136" s="72" t="s">
        <v>51</v>
      </c>
      <c r="E136" s="73">
        <v>1.22</v>
      </c>
      <c r="F136" s="106"/>
      <c r="G136" s="55">
        <v>1.7998800000000001</v>
      </c>
      <c r="J136" s="69"/>
    </row>
    <row r="137" spans="2:13" x14ac:dyDescent="0.25">
      <c r="B137" s="129">
        <v>7786</v>
      </c>
      <c r="C137" s="130" t="s">
        <v>314</v>
      </c>
      <c r="D137" s="131" t="s">
        <v>51</v>
      </c>
      <c r="E137" s="73">
        <f t="shared" ref="E137:E140" si="18">+G137*0.9*0.8*0.95</f>
        <v>1.2311179200000002</v>
      </c>
      <c r="F137" s="131" t="s">
        <v>150</v>
      </c>
      <c r="G137" s="55">
        <v>1.7998800000000001</v>
      </c>
      <c r="J137" s="69"/>
    </row>
    <row r="138" spans="2:13" x14ac:dyDescent="0.25">
      <c r="B138" s="104">
        <v>7787</v>
      </c>
      <c r="C138" s="126" t="s">
        <v>315</v>
      </c>
      <c r="D138" s="106" t="s">
        <v>51</v>
      </c>
      <c r="E138" s="73">
        <f t="shared" si="18"/>
        <v>1.2311179200000002</v>
      </c>
      <c r="F138" s="106" t="s">
        <v>150</v>
      </c>
      <c r="G138" s="55">
        <v>1.7998800000000001</v>
      </c>
      <c r="J138" s="69"/>
    </row>
    <row r="139" spans="2:13" x14ac:dyDescent="0.25">
      <c r="B139" s="104">
        <v>7788</v>
      </c>
      <c r="C139" s="126" t="s">
        <v>316</v>
      </c>
      <c r="D139" s="106" t="s">
        <v>51</v>
      </c>
      <c r="E139" s="73">
        <f t="shared" si="18"/>
        <v>1.2311179200000002</v>
      </c>
      <c r="F139" s="106" t="s">
        <v>150</v>
      </c>
      <c r="G139" s="55">
        <v>1.7998800000000001</v>
      </c>
      <c r="J139" s="69"/>
    </row>
    <row r="140" spans="2:13" ht="15.75" thickBot="1" x14ac:dyDescent="0.3">
      <c r="B140" s="108">
        <v>7789</v>
      </c>
      <c r="C140" s="167" t="s">
        <v>317</v>
      </c>
      <c r="D140" s="109" t="s">
        <v>51</v>
      </c>
      <c r="E140" s="73">
        <f t="shared" si="18"/>
        <v>1.2311179200000002</v>
      </c>
      <c r="F140" s="106" t="s">
        <v>150</v>
      </c>
      <c r="G140" s="55">
        <v>1.7998800000000001</v>
      </c>
      <c r="J140" s="69"/>
    </row>
    <row r="141" spans="2:13" x14ac:dyDescent="0.25">
      <c r="B141" s="170"/>
      <c r="C141" s="170"/>
      <c r="D141" s="170"/>
      <c r="E141" s="171"/>
      <c r="F141" s="172"/>
      <c r="G141" s="55">
        <v>0</v>
      </c>
      <c r="H141" s="55">
        <f t="shared" ref="H141:H199" si="19">+C141</f>
        <v>0</v>
      </c>
      <c r="I141" s="55">
        <v>13.2</v>
      </c>
      <c r="J141" s="69">
        <f t="shared" ref="J141:J199" si="20">+B141</f>
        <v>0</v>
      </c>
    </row>
    <row r="142" spans="2:13" ht="16.5" thickBot="1" x14ac:dyDescent="0.3">
      <c r="B142" s="164" t="s">
        <v>175</v>
      </c>
      <c r="C142" s="164"/>
      <c r="D142" s="164"/>
      <c r="E142" s="165"/>
      <c r="F142" s="161"/>
      <c r="G142" s="55">
        <v>0</v>
      </c>
      <c r="H142" s="55">
        <f t="shared" si="19"/>
        <v>0</v>
      </c>
      <c r="I142" s="55">
        <v>13.2</v>
      </c>
      <c r="J142" s="69" t="str">
        <f t="shared" si="20"/>
        <v>Ataduras p/ Aislador Tipo Z</v>
      </c>
    </row>
    <row r="143" spans="2:13" ht="25.5" x14ac:dyDescent="0.25">
      <c r="B143" s="70">
        <v>7800</v>
      </c>
      <c r="C143" s="98" t="s">
        <v>318</v>
      </c>
      <c r="D143" s="128" t="s">
        <v>51</v>
      </c>
      <c r="E143" s="73">
        <f>+G143*0.8*0.9*0.95</f>
        <v>1.4805316799999999</v>
      </c>
      <c r="F143" s="128"/>
      <c r="G143" s="55">
        <v>2.16452</v>
      </c>
      <c r="H143" s="55" t="str">
        <f t="shared" si="19"/>
        <v>Atadura de Paso Tipo Z p/ Aislador Diam. 55 cable 25 mm2</v>
      </c>
      <c r="I143" s="55">
        <v>13.2</v>
      </c>
      <c r="J143" s="69">
        <f t="shared" si="20"/>
        <v>7800</v>
      </c>
    </row>
    <row r="144" spans="2:13" ht="25.5" x14ac:dyDescent="0.25">
      <c r="B144" s="76">
        <v>7801</v>
      </c>
      <c r="C144" s="71" t="s">
        <v>319</v>
      </c>
      <c r="D144" s="72" t="s">
        <v>51</v>
      </c>
      <c r="E144" s="73">
        <f t="shared" ref="E144:E158" si="21">+G144*0.8*0.9*0.95</f>
        <v>1.4805316799999999</v>
      </c>
      <c r="F144" s="72"/>
      <c r="G144" s="55">
        <v>2.16452</v>
      </c>
      <c r="H144" s="55" t="str">
        <f t="shared" si="19"/>
        <v>Atadura de Paso Tipo Z p/ Aislador Diam. 55 cable 35 mm2</v>
      </c>
      <c r="I144" s="55">
        <v>13.2</v>
      </c>
      <c r="J144" s="69">
        <f t="shared" si="20"/>
        <v>7801</v>
      </c>
    </row>
    <row r="145" spans="2:10" ht="25.5" x14ac:dyDescent="0.25">
      <c r="B145" s="76">
        <v>7802</v>
      </c>
      <c r="C145" s="71" t="s">
        <v>320</v>
      </c>
      <c r="D145" s="72" t="s">
        <v>51</v>
      </c>
      <c r="E145" s="73">
        <f t="shared" si="21"/>
        <v>1.4805316799999999</v>
      </c>
      <c r="F145" s="72"/>
      <c r="G145" s="55">
        <v>2.16452</v>
      </c>
      <c r="H145" s="55" t="str">
        <f t="shared" si="19"/>
        <v>Atadura de Paso Tipo Z p/ Aislador Diam. 55 cable 50 mm2</v>
      </c>
      <c r="I145" s="55">
        <v>13.2</v>
      </c>
      <c r="J145" s="69">
        <f t="shared" si="20"/>
        <v>7802</v>
      </c>
    </row>
    <row r="146" spans="2:10" ht="25.5" x14ac:dyDescent="0.25">
      <c r="B146" s="76">
        <v>7803</v>
      </c>
      <c r="C146" s="71" t="s">
        <v>321</v>
      </c>
      <c r="D146" s="72" t="s">
        <v>51</v>
      </c>
      <c r="E146" s="73">
        <f t="shared" si="21"/>
        <v>1.4805316799999999</v>
      </c>
      <c r="F146" s="72"/>
      <c r="G146" s="55">
        <v>2.16452</v>
      </c>
      <c r="H146" s="55" t="str">
        <f t="shared" si="19"/>
        <v>Atadura de Paso Tipo Z p/ Aislador Diam. 55 cable 70 mm2</v>
      </c>
      <c r="I146" s="55">
        <v>13.2</v>
      </c>
      <c r="J146" s="69">
        <f t="shared" si="20"/>
        <v>7803</v>
      </c>
    </row>
    <row r="147" spans="2:10" ht="25.5" x14ac:dyDescent="0.25">
      <c r="B147" s="97">
        <v>7804</v>
      </c>
      <c r="C147" s="98" t="s">
        <v>322</v>
      </c>
      <c r="D147" s="99" t="s">
        <v>51</v>
      </c>
      <c r="E147" s="73">
        <f t="shared" si="21"/>
        <v>1.4805316799999999</v>
      </c>
      <c r="G147" s="55">
        <v>2.16452</v>
      </c>
      <c r="H147" s="55" t="str">
        <f t="shared" si="19"/>
        <v>Atadura de Paso Tipo Z p/ Aislador Diam. 55 cable 95 mm2</v>
      </c>
      <c r="I147" s="55">
        <v>13.2</v>
      </c>
      <c r="J147" s="69">
        <f t="shared" si="20"/>
        <v>7804</v>
      </c>
    </row>
    <row r="148" spans="2:10" ht="25.5" x14ac:dyDescent="0.25">
      <c r="B148" s="76">
        <v>7805</v>
      </c>
      <c r="C148" s="71" t="s">
        <v>323</v>
      </c>
      <c r="D148" s="72" t="s">
        <v>51</v>
      </c>
      <c r="E148" s="73">
        <f t="shared" si="21"/>
        <v>1.4805316799999999</v>
      </c>
      <c r="F148" s="162"/>
      <c r="G148" s="55">
        <v>2.16452</v>
      </c>
      <c r="H148" s="55" t="str">
        <f t="shared" si="19"/>
        <v>Atadura de Paso Tipo Z p/ Aislador Diam. 55 cable 120 mm2</v>
      </c>
      <c r="I148" s="55">
        <v>13.2</v>
      </c>
      <c r="J148" s="69">
        <f t="shared" si="20"/>
        <v>7805</v>
      </c>
    </row>
    <row r="149" spans="2:10" ht="25.5" x14ac:dyDescent="0.25">
      <c r="B149" s="78">
        <v>7806</v>
      </c>
      <c r="C149" s="79" t="s">
        <v>324</v>
      </c>
      <c r="D149" s="80" t="s">
        <v>51</v>
      </c>
      <c r="E149" s="73">
        <f t="shared" si="21"/>
        <v>1.4805316799999999</v>
      </c>
      <c r="F149" s="131" t="s">
        <v>150</v>
      </c>
      <c r="G149" s="55">
        <v>2.16452</v>
      </c>
      <c r="H149" s="55" t="str">
        <f t="shared" si="19"/>
        <v>Atadura de Paso Tipo Z p/ Aislador Diam. 55 cable 150 mm2</v>
      </c>
      <c r="I149" s="55">
        <v>13.2</v>
      </c>
      <c r="J149" s="69">
        <f t="shared" si="20"/>
        <v>7806</v>
      </c>
    </row>
    <row r="150" spans="2:10" ht="25.5" x14ac:dyDescent="0.25">
      <c r="B150" s="104">
        <v>7807</v>
      </c>
      <c r="C150" s="126" t="s">
        <v>325</v>
      </c>
      <c r="D150" s="106" t="s">
        <v>51</v>
      </c>
      <c r="E150" s="73">
        <f t="shared" si="21"/>
        <v>1.48198176</v>
      </c>
      <c r="F150" s="106" t="s">
        <v>150</v>
      </c>
      <c r="G150" s="55">
        <v>2.1666400000000001</v>
      </c>
      <c r="H150" s="55" t="str">
        <f t="shared" si="19"/>
        <v>Atadura de Paso Tipo Z p/ Aislador Diam. 55 cable 185 mm2</v>
      </c>
      <c r="I150" s="55">
        <v>13.2</v>
      </c>
      <c r="J150" s="69">
        <f t="shared" si="20"/>
        <v>7807</v>
      </c>
    </row>
    <row r="151" spans="2:10" ht="25.5" x14ac:dyDescent="0.25">
      <c r="B151" s="135">
        <v>7808</v>
      </c>
      <c r="C151" s="136" t="s">
        <v>326</v>
      </c>
      <c r="D151" s="137" t="s">
        <v>51</v>
      </c>
      <c r="E151" s="73">
        <f t="shared" si="21"/>
        <v>1.48198176</v>
      </c>
      <c r="F151" s="106" t="s">
        <v>150</v>
      </c>
      <c r="G151" s="55">
        <v>2.1666400000000001</v>
      </c>
      <c r="H151" s="55" t="str">
        <f t="shared" si="19"/>
        <v>Atadura de Paso Tipo Z p/ Aislador Diam. 55 cable 240 mm2</v>
      </c>
      <c r="I151" s="55">
        <v>13.2</v>
      </c>
      <c r="J151" s="69">
        <f t="shared" si="20"/>
        <v>7808</v>
      </c>
    </row>
    <row r="152" spans="2:10" ht="25.5" x14ac:dyDescent="0.25">
      <c r="B152" s="104">
        <v>7809</v>
      </c>
      <c r="C152" s="126" t="s">
        <v>327</v>
      </c>
      <c r="D152" s="106" t="s">
        <v>51</v>
      </c>
      <c r="E152" s="73">
        <f t="shared" si="21"/>
        <v>1.48198176</v>
      </c>
      <c r="F152" s="106" t="s">
        <v>150</v>
      </c>
      <c r="G152" s="55">
        <v>2.1666400000000001</v>
      </c>
      <c r="H152" s="55" t="str">
        <f t="shared" si="19"/>
        <v>Atadura de Paso Tipo Z p/ Aislador Diam. 55 cable 300 mm2</v>
      </c>
      <c r="I152" s="55">
        <v>13.2</v>
      </c>
      <c r="J152" s="69">
        <f t="shared" si="20"/>
        <v>7809</v>
      </c>
    </row>
    <row r="153" spans="2:10" ht="25.5" x14ac:dyDescent="0.25">
      <c r="B153" s="104">
        <v>7820</v>
      </c>
      <c r="C153" s="126" t="s">
        <v>328</v>
      </c>
      <c r="D153" s="106" t="s">
        <v>51</v>
      </c>
      <c r="E153" s="73">
        <f t="shared" si="21"/>
        <v>1.8314510399999999</v>
      </c>
      <c r="F153" s="106" t="s">
        <v>150</v>
      </c>
      <c r="G153" s="55">
        <v>2.6775599999999997</v>
      </c>
      <c r="H153" s="55" t="str">
        <f t="shared" si="19"/>
        <v>Atadura de Paso Tipo Z p/ Aislador Diam. 75 cable 25 mm2</v>
      </c>
      <c r="I153" s="55">
        <v>13.2</v>
      </c>
      <c r="J153" s="69">
        <f t="shared" si="20"/>
        <v>7820</v>
      </c>
    </row>
    <row r="154" spans="2:10" ht="25.5" x14ac:dyDescent="0.25">
      <c r="B154" s="76">
        <v>7821</v>
      </c>
      <c r="C154" s="71" t="s">
        <v>329</v>
      </c>
      <c r="D154" s="72" t="s">
        <v>51</v>
      </c>
      <c r="E154" s="73">
        <f t="shared" si="21"/>
        <v>1.8314510399999999</v>
      </c>
      <c r="F154" s="72"/>
      <c r="G154" s="55">
        <v>2.6775599999999997</v>
      </c>
      <c r="H154" s="55" t="str">
        <f t="shared" si="19"/>
        <v>Atadura de Paso Tipo Z p/ Aislador Diam. 75 cable 35 mm2</v>
      </c>
      <c r="I154" s="55">
        <v>13.2</v>
      </c>
      <c r="J154" s="69">
        <f t="shared" si="20"/>
        <v>7821</v>
      </c>
    </row>
    <row r="155" spans="2:10" ht="25.5" x14ac:dyDescent="0.25">
      <c r="B155" s="76">
        <v>7822</v>
      </c>
      <c r="C155" s="71" t="s">
        <v>330</v>
      </c>
      <c r="D155" s="72" t="s">
        <v>51</v>
      </c>
      <c r="E155" s="73">
        <f t="shared" si="21"/>
        <v>1.8314510399999999</v>
      </c>
      <c r="F155" s="72"/>
      <c r="G155" s="55">
        <v>2.6775599999999997</v>
      </c>
      <c r="H155" s="55" t="str">
        <f t="shared" si="19"/>
        <v>Atadura de Paso Tipo Z p/ Aislador Diam. 75 cable 50 mm2</v>
      </c>
      <c r="I155" s="55">
        <v>13.2</v>
      </c>
      <c r="J155" s="69">
        <f t="shared" si="20"/>
        <v>7822</v>
      </c>
    </row>
    <row r="156" spans="2:10" ht="25.5" x14ac:dyDescent="0.25">
      <c r="B156" s="82">
        <v>7823</v>
      </c>
      <c r="C156" s="83" t="s">
        <v>331</v>
      </c>
      <c r="D156" s="84" t="s">
        <v>51</v>
      </c>
      <c r="E156" s="73">
        <f t="shared" si="21"/>
        <v>1.8314510399999999</v>
      </c>
      <c r="F156" s="84"/>
      <c r="G156" s="55">
        <v>2.6775599999999997</v>
      </c>
      <c r="H156" s="55" t="str">
        <f t="shared" si="19"/>
        <v>Atadura de Paso Tipo Z p/ Aislador Diam. 75 cable 70 mm2</v>
      </c>
      <c r="I156" s="55">
        <v>13.2</v>
      </c>
      <c r="J156" s="69">
        <f t="shared" si="20"/>
        <v>7823</v>
      </c>
    </row>
    <row r="157" spans="2:10" ht="25.5" x14ac:dyDescent="0.25">
      <c r="B157" s="76">
        <v>7824</v>
      </c>
      <c r="C157" s="71" t="s">
        <v>332</v>
      </c>
      <c r="D157" s="72" t="s">
        <v>51</v>
      </c>
      <c r="E157" s="73">
        <f t="shared" si="21"/>
        <v>1.8314510399999999</v>
      </c>
      <c r="F157" s="72"/>
      <c r="G157" s="55">
        <v>2.6775599999999997</v>
      </c>
      <c r="H157" s="55" t="str">
        <f t="shared" si="19"/>
        <v>Atadura de Paso Tipo Z p/ Aislador Diam. 75 cable 95 mm2</v>
      </c>
      <c r="I157" s="55">
        <v>13.2</v>
      </c>
      <c r="J157" s="69">
        <f t="shared" si="20"/>
        <v>7824</v>
      </c>
    </row>
    <row r="158" spans="2:10" ht="25.5" x14ac:dyDescent="0.25">
      <c r="B158" s="76">
        <v>7825</v>
      </c>
      <c r="C158" s="71" t="s">
        <v>333</v>
      </c>
      <c r="D158" s="72" t="s">
        <v>51</v>
      </c>
      <c r="E158" s="73">
        <f t="shared" si="21"/>
        <v>1.8314510399999999</v>
      </c>
      <c r="F158" s="72"/>
      <c r="G158" s="55">
        <v>2.6775599999999997</v>
      </c>
      <c r="H158" s="55" t="str">
        <f t="shared" si="19"/>
        <v>Atadura de Paso Tipo Z p/ Aislador Diam. 75 cable 120 mm2</v>
      </c>
      <c r="I158" s="55">
        <v>13.2</v>
      </c>
      <c r="J158" s="69">
        <f t="shared" si="20"/>
        <v>7825</v>
      </c>
    </row>
    <row r="159" spans="2:10" ht="15.75" thickBot="1" x14ac:dyDescent="0.3">
      <c r="B159" s="97"/>
      <c r="C159" s="98"/>
      <c r="D159" s="99"/>
      <c r="E159" s="100"/>
      <c r="G159" s="55" t="e">
        <v>#N/A</v>
      </c>
      <c r="H159" s="55">
        <f t="shared" si="19"/>
        <v>0</v>
      </c>
      <c r="I159" s="55">
        <v>13.2</v>
      </c>
      <c r="J159" s="69">
        <f t="shared" si="20"/>
        <v>0</v>
      </c>
    </row>
    <row r="160" spans="2:10" x14ac:dyDescent="0.25">
      <c r="B160" s="58" t="s">
        <v>44</v>
      </c>
      <c r="C160" s="59" t="s">
        <v>45</v>
      </c>
      <c r="D160" s="59" t="s">
        <v>46</v>
      </c>
      <c r="E160" s="60" t="s">
        <v>47</v>
      </c>
      <c r="F160" s="59" t="s">
        <v>48</v>
      </c>
      <c r="G160" s="55" t="e">
        <v>#VALUE!</v>
      </c>
      <c r="H160" s="55" t="str">
        <f t="shared" si="19"/>
        <v xml:space="preserve"> DESCRIPCION  </v>
      </c>
      <c r="I160" s="55">
        <v>13.2</v>
      </c>
      <c r="J160" s="69" t="str">
        <f t="shared" si="20"/>
        <v xml:space="preserve">COD                                                                                                                          </v>
      </c>
    </row>
    <row r="161" spans="2:10" x14ac:dyDescent="0.25">
      <c r="B161" s="97"/>
      <c r="C161" s="98"/>
      <c r="D161" s="99"/>
      <c r="E161" s="100"/>
      <c r="F161" s="99"/>
      <c r="G161" s="55" t="e">
        <v>#N/A</v>
      </c>
      <c r="H161" s="55">
        <f t="shared" si="19"/>
        <v>0</v>
      </c>
      <c r="I161" s="55">
        <v>13.2</v>
      </c>
      <c r="J161" s="69">
        <f t="shared" si="20"/>
        <v>0</v>
      </c>
    </row>
    <row r="162" spans="2:10" ht="25.5" x14ac:dyDescent="0.25">
      <c r="B162" s="76">
        <v>7826</v>
      </c>
      <c r="C162" s="71" t="s">
        <v>334</v>
      </c>
      <c r="D162" s="72" t="s">
        <v>51</v>
      </c>
      <c r="E162" s="107">
        <f>+G162*0.8*0.9*0.95</f>
        <v>1.8314510399999999</v>
      </c>
      <c r="F162" s="72"/>
      <c r="G162" s="55">
        <v>2.6775599999999997</v>
      </c>
      <c r="H162" s="55" t="str">
        <f t="shared" si="19"/>
        <v>Atadura de Paso Tipo Z p/ Aislador Diam. 75 cable 150 mm2</v>
      </c>
      <c r="I162" s="55">
        <v>13.2</v>
      </c>
      <c r="J162" s="69">
        <f t="shared" si="20"/>
        <v>7826</v>
      </c>
    </row>
    <row r="163" spans="2:10" ht="25.5" x14ac:dyDescent="0.25">
      <c r="B163" s="104">
        <v>7827</v>
      </c>
      <c r="C163" s="126" t="s">
        <v>335</v>
      </c>
      <c r="D163" s="106" t="s">
        <v>51</v>
      </c>
      <c r="E163" s="107">
        <f t="shared" ref="E163:E165" si="22">+G163*0.8*0.9*0.95</f>
        <v>1.8314510399999999</v>
      </c>
      <c r="F163" s="106" t="s">
        <v>150</v>
      </c>
      <c r="G163" s="55">
        <v>2.6775599999999997</v>
      </c>
      <c r="H163" s="55" t="str">
        <f t="shared" si="19"/>
        <v>Atadura de Paso Tipo Z p/ Aislador Diam. 75 cable 185 mm2</v>
      </c>
      <c r="I163" s="55">
        <v>13.2</v>
      </c>
      <c r="J163" s="69">
        <f t="shared" si="20"/>
        <v>7827</v>
      </c>
    </row>
    <row r="164" spans="2:10" ht="25.5" x14ac:dyDescent="0.25">
      <c r="B164" s="104">
        <v>7828</v>
      </c>
      <c r="C164" s="126" t="s">
        <v>336</v>
      </c>
      <c r="D164" s="106" t="s">
        <v>51</v>
      </c>
      <c r="E164" s="107">
        <f t="shared" si="22"/>
        <v>1.8314510399999999</v>
      </c>
      <c r="F164" s="106" t="s">
        <v>150</v>
      </c>
      <c r="G164" s="55">
        <v>2.6775599999999997</v>
      </c>
      <c r="H164" s="55" t="str">
        <f t="shared" si="19"/>
        <v>Atadura de Paso Tipo Z p/ Aislador Diam. 75 cable 240 mm2</v>
      </c>
      <c r="I164" s="55">
        <v>13.2</v>
      </c>
      <c r="J164" s="69">
        <f t="shared" si="20"/>
        <v>7828</v>
      </c>
    </row>
    <row r="165" spans="2:10" ht="26.25" thickBot="1" x14ac:dyDescent="0.3">
      <c r="B165" s="108">
        <v>7829</v>
      </c>
      <c r="C165" s="167" t="s">
        <v>337</v>
      </c>
      <c r="D165" s="109" t="s">
        <v>51</v>
      </c>
      <c r="E165" s="107">
        <f t="shared" si="22"/>
        <v>1.8314510399999999</v>
      </c>
      <c r="F165" s="109" t="s">
        <v>150</v>
      </c>
      <c r="G165" s="55">
        <v>2.6775599999999997</v>
      </c>
      <c r="H165" s="55" t="str">
        <f t="shared" si="19"/>
        <v>Atadura de Paso Tipo Z p/ Aislador Diam. 75 cable 300 mm2</v>
      </c>
      <c r="I165" s="55">
        <v>13.2</v>
      </c>
      <c r="J165" s="69">
        <f t="shared" si="20"/>
        <v>7829</v>
      </c>
    </row>
    <row r="166" spans="2:10" x14ac:dyDescent="0.25">
      <c r="F166" s="99"/>
      <c r="G166" s="55" t="e">
        <v>#N/A</v>
      </c>
      <c r="H166" s="55">
        <f t="shared" si="19"/>
        <v>0</v>
      </c>
      <c r="I166" s="55">
        <v>13.2</v>
      </c>
      <c r="J166" s="69">
        <f t="shared" si="20"/>
        <v>0</v>
      </c>
    </row>
    <row r="167" spans="2:10" ht="16.5" thickBot="1" x14ac:dyDescent="0.3">
      <c r="B167" s="164" t="s">
        <v>176</v>
      </c>
      <c r="C167" s="164"/>
      <c r="D167" s="164"/>
      <c r="E167" s="165"/>
      <c r="F167" s="161"/>
      <c r="G167" s="55" t="e">
        <v>#N/A</v>
      </c>
      <c r="H167" s="55">
        <f t="shared" si="19"/>
        <v>0</v>
      </c>
      <c r="I167" s="55">
        <v>13.2</v>
      </c>
      <c r="J167" s="69" t="str">
        <f t="shared" si="20"/>
        <v>Ataduras p/ Aislador Tipo V</v>
      </c>
    </row>
    <row r="168" spans="2:10" ht="25.5" x14ac:dyDescent="0.25">
      <c r="B168" s="70">
        <v>7840</v>
      </c>
      <c r="C168" s="98" t="s">
        <v>338</v>
      </c>
      <c r="D168" s="128" t="s">
        <v>51</v>
      </c>
      <c r="E168" s="73">
        <f>+G168*0.8*0.9*0.95</f>
        <v>1.4152780799999998</v>
      </c>
      <c r="F168" s="128"/>
      <c r="G168" s="55">
        <v>2.0691199999999998</v>
      </c>
      <c r="H168" s="55" t="str">
        <f t="shared" si="19"/>
        <v>Atadura Lateral Tipo V p/Aislador Diam. 55 cable 25 mm2</v>
      </c>
      <c r="I168" s="55">
        <v>13.2</v>
      </c>
      <c r="J168" s="69">
        <f t="shared" si="20"/>
        <v>7840</v>
      </c>
    </row>
    <row r="169" spans="2:10" ht="25.5" x14ac:dyDescent="0.25">
      <c r="B169" s="76">
        <v>7841</v>
      </c>
      <c r="C169" s="71" t="s">
        <v>339</v>
      </c>
      <c r="D169" s="72" t="s">
        <v>51</v>
      </c>
      <c r="E169" s="73">
        <f t="shared" ref="E169:E187" si="23">+G169*0.8*0.9*0.95</f>
        <v>1.4152780799999998</v>
      </c>
      <c r="F169" s="72"/>
      <c r="G169" s="55">
        <v>2.0691199999999998</v>
      </c>
      <c r="H169" s="55" t="str">
        <f t="shared" si="19"/>
        <v>Atadura Lateral Tipo V p/Aislador Diam. 55 cable 35 mm2</v>
      </c>
      <c r="I169" s="55">
        <v>13.2</v>
      </c>
      <c r="J169" s="69">
        <f t="shared" si="20"/>
        <v>7841</v>
      </c>
    </row>
    <row r="170" spans="2:10" ht="25.5" x14ac:dyDescent="0.25">
      <c r="B170" s="76">
        <v>7842</v>
      </c>
      <c r="C170" s="71" t="s">
        <v>340</v>
      </c>
      <c r="D170" s="72" t="s">
        <v>51</v>
      </c>
      <c r="E170" s="73">
        <f t="shared" si="23"/>
        <v>1.4152780799999998</v>
      </c>
      <c r="F170" s="72"/>
      <c r="G170" s="55">
        <v>2.0691199999999998</v>
      </c>
      <c r="H170" s="55" t="str">
        <f t="shared" si="19"/>
        <v>Atadura Lateral Tipo V p/Aislador Diam. 55 cable 50 mm2</v>
      </c>
      <c r="I170" s="55">
        <v>13.2</v>
      </c>
      <c r="J170" s="69">
        <f t="shared" si="20"/>
        <v>7842</v>
      </c>
    </row>
    <row r="171" spans="2:10" ht="25.5" x14ac:dyDescent="0.25">
      <c r="B171" s="82">
        <v>7843</v>
      </c>
      <c r="C171" s="83" t="s">
        <v>341</v>
      </c>
      <c r="D171" s="84" t="s">
        <v>51</v>
      </c>
      <c r="E171" s="73">
        <f t="shared" si="23"/>
        <v>1.4152780799999998</v>
      </c>
      <c r="F171" s="84"/>
      <c r="G171" s="55">
        <v>2.0691199999999998</v>
      </c>
      <c r="H171" s="55" t="str">
        <f t="shared" si="19"/>
        <v>Atadura Lateral Tipo V p/Aislador Diam. 55 cable 70 mm2</v>
      </c>
      <c r="I171" s="55">
        <v>13.2</v>
      </c>
      <c r="J171" s="69">
        <f t="shared" si="20"/>
        <v>7843</v>
      </c>
    </row>
    <row r="172" spans="2:10" ht="25.5" x14ac:dyDescent="0.25">
      <c r="B172" s="76">
        <v>7844</v>
      </c>
      <c r="C172" s="71" t="s">
        <v>342</v>
      </c>
      <c r="D172" s="72" t="s">
        <v>51</v>
      </c>
      <c r="E172" s="73">
        <f t="shared" si="23"/>
        <v>1.4152780799999998</v>
      </c>
      <c r="F172" s="162"/>
      <c r="G172" s="55">
        <v>2.0691199999999998</v>
      </c>
      <c r="H172" s="55" t="str">
        <f t="shared" si="19"/>
        <v>Atadura Lateral Tipo V p/Aislador Diam. 55 cable 95 mm2</v>
      </c>
      <c r="I172" s="55">
        <v>13.2</v>
      </c>
      <c r="J172" s="69">
        <f t="shared" si="20"/>
        <v>7844</v>
      </c>
    </row>
    <row r="173" spans="2:10" ht="25.5" x14ac:dyDescent="0.25">
      <c r="B173" s="97">
        <v>7845</v>
      </c>
      <c r="C173" s="98" t="s">
        <v>343</v>
      </c>
      <c r="D173" s="99" t="s">
        <v>51</v>
      </c>
      <c r="E173" s="73">
        <f t="shared" si="23"/>
        <v>1.4152780799999998</v>
      </c>
      <c r="G173" s="55">
        <v>2.0691199999999998</v>
      </c>
      <c r="H173" s="55" t="str">
        <f t="shared" si="19"/>
        <v>Atadura Lateral Tipo V p/Aislador Diam. 55 cable 120 mm2</v>
      </c>
      <c r="I173" s="55">
        <v>13.2</v>
      </c>
      <c r="J173" s="69">
        <f t="shared" si="20"/>
        <v>7845</v>
      </c>
    </row>
    <row r="174" spans="2:10" ht="25.5" x14ac:dyDescent="0.25">
      <c r="B174" s="104">
        <v>7846</v>
      </c>
      <c r="C174" s="126" t="s">
        <v>344</v>
      </c>
      <c r="D174" s="106" t="s">
        <v>51</v>
      </c>
      <c r="E174" s="73">
        <f t="shared" si="23"/>
        <v>1.4152780799999998</v>
      </c>
      <c r="F174" s="106" t="s">
        <v>150</v>
      </c>
      <c r="G174" s="55">
        <v>2.0691199999999998</v>
      </c>
      <c r="H174" s="55" t="str">
        <f t="shared" si="19"/>
        <v>Atadura Lateral Tipo V p/Aislador Diam. 55 cable 150 mm2</v>
      </c>
      <c r="I174" s="55">
        <v>13.2</v>
      </c>
      <c r="J174" s="69">
        <f t="shared" si="20"/>
        <v>7846</v>
      </c>
    </row>
    <row r="175" spans="2:10" ht="25.5" x14ac:dyDescent="0.25">
      <c r="B175" s="104">
        <v>7847</v>
      </c>
      <c r="C175" s="126" t="s">
        <v>345</v>
      </c>
      <c r="D175" s="106" t="s">
        <v>51</v>
      </c>
      <c r="E175" s="73">
        <f t="shared" si="23"/>
        <v>1.4152780799999998</v>
      </c>
      <c r="F175" s="106" t="s">
        <v>150</v>
      </c>
      <c r="G175" s="55">
        <v>2.0691199999999998</v>
      </c>
      <c r="H175" s="55" t="str">
        <f t="shared" si="19"/>
        <v>Atadura Lateral Tipo V p/Aislador Diam. 55 cable 185 mm2</v>
      </c>
      <c r="I175" s="55">
        <v>13.2</v>
      </c>
      <c r="J175" s="69">
        <f t="shared" si="20"/>
        <v>7847</v>
      </c>
    </row>
    <row r="176" spans="2:10" ht="25.5" x14ac:dyDescent="0.25">
      <c r="B176" s="129">
        <v>7848</v>
      </c>
      <c r="C176" s="130" t="s">
        <v>346</v>
      </c>
      <c r="D176" s="131" t="s">
        <v>51</v>
      </c>
      <c r="E176" s="73">
        <f t="shared" si="23"/>
        <v>1.4152780799999998</v>
      </c>
      <c r="F176" s="106" t="s">
        <v>150</v>
      </c>
      <c r="G176" s="55">
        <v>2.0691199999999998</v>
      </c>
      <c r="H176" s="55" t="str">
        <f t="shared" si="19"/>
        <v>Atadura Lateral Tipo V p/Aislador Diam. 55 cable 240 mm2</v>
      </c>
      <c r="I176" s="55">
        <v>13.2</v>
      </c>
      <c r="J176" s="69">
        <f t="shared" si="20"/>
        <v>7848</v>
      </c>
    </row>
    <row r="177" spans="2:10" ht="25.5" x14ac:dyDescent="0.25">
      <c r="B177" s="104">
        <v>7849</v>
      </c>
      <c r="C177" s="126" t="s">
        <v>347</v>
      </c>
      <c r="D177" s="106" t="s">
        <v>51</v>
      </c>
      <c r="E177" s="73">
        <f t="shared" si="23"/>
        <v>1.4152780799999998</v>
      </c>
      <c r="F177" s="106" t="s">
        <v>150</v>
      </c>
      <c r="G177" s="55">
        <v>2.0691199999999998</v>
      </c>
      <c r="H177" s="55" t="str">
        <f t="shared" si="19"/>
        <v>Atadura Lateral Tipo V p/Aislador Diam. 55 cable 300 mm2</v>
      </c>
      <c r="I177" s="55">
        <v>13.2</v>
      </c>
      <c r="J177" s="69">
        <f t="shared" si="20"/>
        <v>7849</v>
      </c>
    </row>
    <row r="178" spans="2:10" ht="25.5" x14ac:dyDescent="0.25">
      <c r="B178" s="104">
        <v>7860</v>
      </c>
      <c r="C178" s="126" t="s">
        <v>348</v>
      </c>
      <c r="D178" s="106" t="s">
        <v>51</v>
      </c>
      <c r="E178" s="73">
        <f t="shared" si="23"/>
        <v>1.6893432000000002</v>
      </c>
      <c r="F178" s="106" t="s">
        <v>150</v>
      </c>
      <c r="G178" s="55">
        <v>2.4698000000000002</v>
      </c>
      <c r="H178" s="55" t="str">
        <f t="shared" si="19"/>
        <v>Atadura Lateral Tipo V p/Aislador Diam. 75 cable 25 mm2</v>
      </c>
      <c r="I178" s="55">
        <v>13.2</v>
      </c>
      <c r="J178" s="69">
        <f t="shared" si="20"/>
        <v>7860</v>
      </c>
    </row>
    <row r="179" spans="2:10" ht="25.5" x14ac:dyDescent="0.25">
      <c r="B179" s="76">
        <v>7861</v>
      </c>
      <c r="C179" s="71" t="s">
        <v>349</v>
      </c>
      <c r="D179" s="72" t="s">
        <v>51</v>
      </c>
      <c r="E179" s="73">
        <f t="shared" si="23"/>
        <v>1.6893432000000002</v>
      </c>
      <c r="F179" s="72"/>
      <c r="G179" s="55">
        <v>2.4698000000000002</v>
      </c>
      <c r="H179" s="55" t="str">
        <f t="shared" si="19"/>
        <v>Atadura Lateral Tipo V p/Aislador Diam. 75 cable 35 mm2</v>
      </c>
      <c r="I179" s="55">
        <v>13.2</v>
      </c>
      <c r="J179" s="69">
        <f t="shared" si="20"/>
        <v>7861</v>
      </c>
    </row>
    <row r="180" spans="2:10" ht="25.5" x14ac:dyDescent="0.25">
      <c r="B180" s="76">
        <v>7862</v>
      </c>
      <c r="C180" s="71" t="s">
        <v>350</v>
      </c>
      <c r="D180" s="72" t="s">
        <v>51</v>
      </c>
      <c r="E180" s="73">
        <f t="shared" si="23"/>
        <v>1.76619744</v>
      </c>
      <c r="F180" s="72"/>
      <c r="G180" s="55">
        <v>2.58216</v>
      </c>
      <c r="H180" s="55" t="str">
        <f t="shared" si="19"/>
        <v>Atadura Lateral Tipo V p/Aislador Diam. 75 cable 50 mm2</v>
      </c>
      <c r="I180" s="55">
        <v>13.2</v>
      </c>
      <c r="J180" s="69">
        <f t="shared" si="20"/>
        <v>7862</v>
      </c>
    </row>
    <row r="181" spans="2:10" ht="25.5" x14ac:dyDescent="0.25">
      <c r="B181" s="76">
        <v>7863</v>
      </c>
      <c r="C181" s="71" t="s">
        <v>351</v>
      </c>
      <c r="D181" s="72" t="s">
        <v>51</v>
      </c>
      <c r="E181" s="73">
        <f t="shared" si="23"/>
        <v>1.76619744</v>
      </c>
      <c r="F181" s="84"/>
      <c r="G181" s="55">
        <v>2.58216</v>
      </c>
      <c r="H181" s="55" t="str">
        <f t="shared" si="19"/>
        <v>Atadura Lateral Tipo V p/Aislador Diam. 75 cable 70 mm2</v>
      </c>
      <c r="I181" s="55">
        <v>13.2</v>
      </c>
      <c r="J181" s="69">
        <f t="shared" si="20"/>
        <v>7863</v>
      </c>
    </row>
    <row r="182" spans="2:10" ht="25.5" x14ac:dyDescent="0.25">
      <c r="B182" s="76">
        <v>7864</v>
      </c>
      <c r="C182" s="71" t="s">
        <v>352</v>
      </c>
      <c r="D182" s="72" t="s">
        <v>51</v>
      </c>
      <c r="E182" s="73">
        <f t="shared" si="23"/>
        <v>1.76619744</v>
      </c>
      <c r="F182" s="72"/>
      <c r="G182" s="55">
        <v>2.58216</v>
      </c>
      <c r="H182" s="55" t="str">
        <f t="shared" si="19"/>
        <v>Atadura Lateral Tipo V p/Aislador Diam. 75 cable 95 mm2</v>
      </c>
      <c r="I182" s="55">
        <v>13.2</v>
      </c>
      <c r="J182" s="69">
        <f t="shared" si="20"/>
        <v>7864</v>
      </c>
    </row>
    <row r="183" spans="2:10" ht="25.5" x14ac:dyDescent="0.25">
      <c r="B183" s="82">
        <v>7865</v>
      </c>
      <c r="C183" s="83" t="s">
        <v>353</v>
      </c>
      <c r="D183" s="84" t="s">
        <v>51</v>
      </c>
      <c r="E183" s="73">
        <f t="shared" si="23"/>
        <v>1.76619744</v>
      </c>
      <c r="G183" s="55">
        <v>2.58216</v>
      </c>
      <c r="H183" s="55" t="str">
        <f t="shared" si="19"/>
        <v>Atadura Lateral Tipo V p/Aislador Diam. 75 cable 120 mm2</v>
      </c>
      <c r="I183" s="55">
        <v>13.2</v>
      </c>
      <c r="J183" s="69">
        <f t="shared" si="20"/>
        <v>7865</v>
      </c>
    </row>
    <row r="184" spans="2:10" ht="25.5" x14ac:dyDescent="0.25">
      <c r="B184" s="76">
        <v>7866</v>
      </c>
      <c r="C184" s="71" t="s">
        <v>354</v>
      </c>
      <c r="D184" s="72" t="s">
        <v>51</v>
      </c>
      <c r="E184" s="73">
        <f t="shared" si="23"/>
        <v>1.76619744</v>
      </c>
      <c r="F184" s="162"/>
      <c r="G184" s="55">
        <v>2.58216</v>
      </c>
      <c r="H184" s="55" t="str">
        <f t="shared" si="19"/>
        <v>Atadura Lateral Tipo V p/Aislador Diam. 75 cable 150 mm2</v>
      </c>
      <c r="I184" s="55">
        <v>13.2</v>
      </c>
      <c r="J184" s="69">
        <f t="shared" si="20"/>
        <v>7866</v>
      </c>
    </row>
    <row r="185" spans="2:10" ht="25.5" x14ac:dyDescent="0.25">
      <c r="B185" s="135">
        <v>7867</v>
      </c>
      <c r="C185" s="136" t="s">
        <v>355</v>
      </c>
      <c r="D185" s="137" t="s">
        <v>51</v>
      </c>
      <c r="E185" s="73">
        <f t="shared" si="23"/>
        <v>1.76619744</v>
      </c>
      <c r="F185" s="137" t="s">
        <v>150</v>
      </c>
      <c r="G185" s="55">
        <v>2.58216</v>
      </c>
      <c r="H185" s="55" t="str">
        <f t="shared" si="19"/>
        <v>Atadura Lateral Tipo V p/Aislador Diam. 75 cable 185 mm2</v>
      </c>
      <c r="I185" s="55">
        <v>13.2</v>
      </c>
      <c r="J185" s="69">
        <f t="shared" si="20"/>
        <v>7867</v>
      </c>
    </row>
    <row r="186" spans="2:10" ht="25.5" x14ac:dyDescent="0.25">
      <c r="B186" s="104">
        <v>7868</v>
      </c>
      <c r="C186" s="126" t="s">
        <v>356</v>
      </c>
      <c r="D186" s="106" t="s">
        <v>51</v>
      </c>
      <c r="E186" s="73">
        <f t="shared" si="23"/>
        <v>1.76619744</v>
      </c>
      <c r="F186" s="106" t="s">
        <v>150</v>
      </c>
      <c r="G186" s="55">
        <v>2.58216</v>
      </c>
      <c r="H186" s="55" t="str">
        <f t="shared" si="19"/>
        <v>Atadura Lateral Tipo V p/Aislador Diam. 75 cable 240 mm2</v>
      </c>
      <c r="I186" s="55">
        <v>13.2</v>
      </c>
      <c r="J186" s="69">
        <f t="shared" si="20"/>
        <v>7868</v>
      </c>
    </row>
    <row r="187" spans="2:10" ht="25.5" x14ac:dyDescent="0.25">
      <c r="B187" s="78">
        <v>7869</v>
      </c>
      <c r="C187" s="79" t="s">
        <v>357</v>
      </c>
      <c r="D187" s="80" t="s">
        <v>51</v>
      </c>
      <c r="E187" s="73">
        <f t="shared" si="23"/>
        <v>1.76619744</v>
      </c>
      <c r="F187" s="80" t="s">
        <v>150</v>
      </c>
      <c r="G187" s="55">
        <v>2.58216</v>
      </c>
      <c r="H187" s="55" t="str">
        <f t="shared" si="19"/>
        <v>Atadura Lateral Tipo V p/Aislador Diam. 75 cable 300 mm2</v>
      </c>
      <c r="I187" s="55">
        <v>13.2</v>
      </c>
      <c r="J187" s="69">
        <f t="shared" si="20"/>
        <v>7869</v>
      </c>
    </row>
    <row r="188" spans="2:10" x14ac:dyDescent="0.25">
      <c r="B188" s="97"/>
      <c r="C188" s="98"/>
      <c r="D188" s="99"/>
      <c r="E188" s="100"/>
      <c r="F188" s="99"/>
      <c r="G188" s="55">
        <v>0</v>
      </c>
      <c r="H188" s="55">
        <f t="shared" si="19"/>
        <v>0</v>
      </c>
      <c r="I188" s="55">
        <v>13.2</v>
      </c>
      <c r="J188" s="69">
        <f t="shared" si="20"/>
        <v>0</v>
      </c>
    </row>
    <row r="189" spans="2:10" x14ac:dyDescent="0.25">
      <c r="B189" s="97"/>
      <c r="C189" s="98"/>
      <c r="D189" s="99"/>
      <c r="E189" s="100"/>
      <c r="F189" s="99"/>
      <c r="G189" s="55">
        <v>0</v>
      </c>
      <c r="H189" s="55">
        <f t="shared" si="19"/>
        <v>0</v>
      </c>
      <c r="I189" s="55">
        <v>13.2</v>
      </c>
      <c r="J189" s="69">
        <f t="shared" si="20"/>
        <v>0</v>
      </c>
    </row>
    <row r="190" spans="2:10" x14ac:dyDescent="0.25">
      <c r="B190" s="97"/>
      <c r="C190" s="98"/>
      <c r="D190" s="99"/>
      <c r="E190" s="100"/>
      <c r="F190" s="99"/>
      <c r="G190" s="55">
        <v>0</v>
      </c>
      <c r="H190" s="55">
        <f t="shared" si="19"/>
        <v>0</v>
      </c>
      <c r="I190" s="55">
        <v>13.2</v>
      </c>
      <c r="J190" s="69">
        <f t="shared" si="20"/>
        <v>0</v>
      </c>
    </row>
    <row r="191" spans="2:10" x14ac:dyDescent="0.25">
      <c r="B191" s="97"/>
      <c r="C191" s="98"/>
      <c r="D191" s="99"/>
      <c r="E191" s="100"/>
      <c r="F191" s="99"/>
      <c r="G191" s="55">
        <v>0</v>
      </c>
      <c r="H191" s="55">
        <f t="shared" si="19"/>
        <v>0</v>
      </c>
      <c r="I191" s="55">
        <v>13.2</v>
      </c>
      <c r="J191" s="69">
        <f t="shared" si="20"/>
        <v>0</v>
      </c>
    </row>
    <row r="192" spans="2:10" ht="15.75" thickBot="1" x14ac:dyDescent="0.3">
      <c r="B192" s="97"/>
      <c r="C192" s="98"/>
      <c r="D192" s="99"/>
      <c r="E192" s="100"/>
      <c r="G192" s="55">
        <v>0</v>
      </c>
      <c r="H192" s="55">
        <f t="shared" si="19"/>
        <v>0</v>
      </c>
      <c r="I192" s="55">
        <v>13.2</v>
      </c>
      <c r="J192" s="69">
        <f t="shared" si="20"/>
        <v>0</v>
      </c>
    </row>
    <row r="193" spans="2:10" x14ac:dyDescent="0.25">
      <c r="B193" s="58" t="s">
        <v>44</v>
      </c>
      <c r="C193" s="59" t="s">
        <v>45</v>
      </c>
      <c r="D193" s="59" t="s">
        <v>46</v>
      </c>
      <c r="E193" s="60"/>
      <c r="F193" s="59" t="s">
        <v>48</v>
      </c>
      <c r="G193" s="55">
        <v>0</v>
      </c>
      <c r="H193" s="55" t="str">
        <f t="shared" si="19"/>
        <v xml:space="preserve"> DESCRIPCION  </v>
      </c>
      <c r="I193" s="55">
        <v>13.2</v>
      </c>
      <c r="J193" s="69" t="str">
        <f t="shared" si="20"/>
        <v xml:space="preserve">COD                                                                                                                          </v>
      </c>
    </row>
    <row r="194" spans="2:10" x14ac:dyDescent="0.25">
      <c r="B194" s="97"/>
      <c r="C194" s="98"/>
      <c r="D194" s="99"/>
      <c r="E194" s="100"/>
      <c r="F194" s="99"/>
      <c r="G194" s="55">
        <v>0</v>
      </c>
      <c r="H194" s="55">
        <f t="shared" si="19"/>
        <v>0</v>
      </c>
      <c r="I194" s="55">
        <v>13.2</v>
      </c>
      <c r="J194" s="69">
        <f t="shared" si="20"/>
        <v>0</v>
      </c>
    </row>
    <row r="195" spans="2:10" ht="16.5" thickBot="1" x14ac:dyDescent="0.3">
      <c r="B195" s="159" t="s">
        <v>177</v>
      </c>
      <c r="C195" s="159"/>
      <c r="D195" s="159"/>
      <c r="E195" s="160"/>
      <c r="F195" s="159"/>
      <c r="G195" s="55">
        <v>0</v>
      </c>
      <c r="H195" s="55">
        <f t="shared" si="19"/>
        <v>0</v>
      </c>
      <c r="I195" s="55">
        <v>13.2</v>
      </c>
      <c r="J195" s="69" t="str">
        <f t="shared" si="20"/>
        <v>Atadura p/ Fiador Cable de Acero</v>
      </c>
    </row>
    <row r="196" spans="2:10" ht="15.75" thickBot="1" x14ac:dyDescent="0.3">
      <c r="B196" s="173">
        <v>235160</v>
      </c>
      <c r="C196" s="111" t="s">
        <v>358</v>
      </c>
      <c r="D196" s="172" t="s">
        <v>51</v>
      </c>
      <c r="E196" s="124">
        <f>1.8*0.9*0.8*0.95</f>
        <v>1.2312000000000003</v>
      </c>
      <c r="F196" s="172"/>
      <c r="G196" s="55">
        <v>1.8189600000000001</v>
      </c>
      <c r="H196" s="55" t="str">
        <f t="shared" si="19"/>
        <v xml:space="preserve">Atadura p/ Fiador cable de Acero 6 mm MN 100  </v>
      </c>
      <c r="I196" s="55">
        <v>13.2</v>
      </c>
      <c r="J196" s="69">
        <f t="shared" si="20"/>
        <v>235160</v>
      </c>
    </row>
    <row r="197" spans="2:10" ht="24.75" thickBot="1" x14ac:dyDescent="0.3">
      <c r="B197" s="76">
        <v>235162</v>
      </c>
      <c r="C197" s="71" t="s">
        <v>359</v>
      </c>
      <c r="D197" s="72" t="s">
        <v>51</v>
      </c>
      <c r="E197" s="124">
        <v>1.23</v>
      </c>
      <c r="F197" s="72"/>
      <c r="G197" s="55">
        <v>1.8189600000000001</v>
      </c>
      <c r="H197" s="55" t="str">
        <f t="shared" si="19"/>
        <v xml:space="preserve">Atadura p/ Fiador cable de Acero D 7,5 mm MN 100 A  </v>
      </c>
      <c r="I197" s="55">
        <v>13.2</v>
      </c>
      <c r="J197" s="69">
        <f t="shared" si="20"/>
        <v>235162</v>
      </c>
    </row>
    <row r="198" spans="2:10" ht="24.75" thickBot="1" x14ac:dyDescent="0.3">
      <c r="B198" s="76">
        <v>7884</v>
      </c>
      <c r="C198" s="71" t="s">
        <v>360</v>
      </c>
      <c r="D198" s="72" t="s">
        <v>51</v>
      </c>
      <c r="E198" s="124">
        <f t="shared" ref="E198:E199" si="24">+G198*0.8*0.9*0.95</f>
        <v>1.2441686400000003</v>
      </c>
      <c r="F198" s="72"/>
      <c r="G198" s="55">
        <v>1.8189600000000001</v>
      </c>
      <c r="H198" s="55" t="str">
        <f t="shared" si="19"/>
        <v>Atadura p/ Fiador cable de Acero D 4,8 mm MN 100B</v>
      </c>
      <c r="I198" s="55">
        <v>13.2</v>
      </c>
      <c r="J198" s="69">
        <f t="shared" si="20"/>
        <v>7884</v>
      </c>
    </row>
    <row r="199" spans="2:10" ht="15.75" thickBot="1" x14ac:dyDescent="0.3">
      <c r="B199" s="117">
        <v>7886</v>
      </c>
      <c r="C199" s="118" t="s">
        <v>361</v>
      </c>
      <c r="D199" s="119" t="s">
        <v>51</v>
      </c>
      <c r="E199" s="124">
        <f t="shared" si="24"/>
        <v>1.2441686400000003</v>
      </c>
      <c r="F199" s="119"/>
      <c r="G199" s="55">
        <v>1.8189600000000001</v>
      </c>
      <c r="H199" s="55" t="str">
        <f t="shared" si="19"/>
        <v>Atadura p/ Fiador cable de Acero D 9 mm MN 101</v>
      </c>
      <c r="I199" s="55">
        <v>13.2</v>
      </c>
      <c r="J199" s="69">
        <f t="shared" si="20"/>
        <v>7886</v>
      </c>
    </row>
    <row r="200" spans="2:10" x14ac:dyDescent="0.25">
      <c r="B200" s="97"/>
      <c r="C200" s="98"/>
      <c r="D200" s="99"/>
      <c r="E200" s="100"/>
      <c r="F200" s="99"/>
      <c r="G200" s="55">
        <v>0</v>
      </c>
      <c r="H200" s="55">
        <f t="shared" ref="H200:H263" si="25">+C200</f>
        <v>0</v>
      </c>
      <c r="I200" s="55">
        <v>13.2</v>
      </c>
      <c r="J200" s="69">
        <f t="shared" ref="J200:J263" si="26">+B200</f>
        <v>0</v>
      </c>
    </row>
    <row r="201" spans="2:10" ht="16.5" thickBot="1" x14ac:dyDescent="0.3">
      <c r="B201" s="159" t="s">
        <v>177</v>
      </c>
      <c r="C201" s="159"/>
      <c r="D201" s="159"/>
      <c r="E201" s="160"/>
      <c r="F201" s="159"/>
      <c r="G201" s="55">
        <v>0</v>
      </c>
      <c r="H201" s="55">
        <f t="shared" si="25"/>
        <v>0</v>
      </c>
      <c r="I201" s="55">
        <v>13.2</v>
      </c>
      <c r="J201" s="69" t="str">
        <f t="shared" si="26"/>
        <v>Atadura p/ Fiador Cable de Acero</v>
      </c>
    </row>
    <row r="202" spans="2:10" ht="24.75" thickBot="1" x14ac:dyDescent="0.3">
      <c r="B202" s="64" t="s">
        <v>178</v>
      </c>
      <c r="C202" s="65" t="s">
        <v>362</v>
      </c>
      <c r="D202" s="66" t="s">
        <v>51</v>
      </c>
      <c r="E202" s="67">
        <f>+G202*0.8*0.9*0.95</f>
        <v>1.2441686400000003</v>
      </c>
      <c r="F202" s="66"/>
      <c r="G202" s="55">
        <v>1.8189600000000001</v>
      </c>
      <c r="H202" s="55" t="str">
        <f t="shared" si="25"/>
        <v>Atadura p/ Fiador cable de Acero D 10,5 mm MN 101 A</v>
      </c>
      <c r="I202" s="55">
        <v>13.2</v>
      </c>
      <c r="J202" s="69" t="str">
        <f t="shared" si="26"/>
        <v>7888</v>
      </c>
    </row>
    <row r="203" spans="2:10" ht="15.75" thickBot="1" x14ac:dyDescent="0.3">
      <c r="B203" s="117" t="s">
        <v>179</v>
      </c>
      <c r="C203" s="118" t="s">
        <v>363</v>
      </c>
      <c r="D203" s="119" t="s">
        <v>51</v>
      </c>
      <c r="E203" s="67">
        <f>+G203*0.8*0.9*0.95</f>
        <v>1.2441686400000003</v>
      </c>
      <c r="F203" s="119"/>
      <c r="G203" s="55">
        <v>1.8189600000000001</v>
      </c>
      <c r="H203" s="55" t="str">
        <f t="shared" si="25"/>
        <v>Atadura p/ Fiador cable de Acero D 9 mm  MN 101 B</v>
      </c>
      <c r="I203" s="55">
        <v>13.2</v>
      </c>
      <c r="J203" s="69" t="str">
        <f t="shared" si="26"/>
        <v>7890</v>
      </c>
    </row>
    <row r="204" spans="2:10" x14ac:dyDescent="0.25">
      <c r="B204" s="97"/>
      <c r="C204" s="98"/>
      <c r="D204" s="99"/>
      <c r="E204" s="100"/>
      <c r="F204" s="99"/>
      <c r="G204" s="55">
        <v>0</v>
      </c>
      <c r="H204" s="55">
        <f t="shared" si="25"/>
        <v>0</v>
      </c>
      <c r="I204" s="55">
        <v>13.2</v>
      </c>
      <c r="J204" s="69">
        <f t="shared" si="26"/>
        <v>0</v>
      </c>
    </row>
    <row r="205" spans="2:10" ht="16.5" thickBot="1" x14ac:dyDescent="0.3">
      <c r="B205" s="174" t="s">
        <v>180</v>
      </c>
      <c r="C205" s="174"/>
      <c r="D205" s="174"/>
      <c r="E205" s="175"/>
      <c r="F205" s="174"/>
      <c r="G205" s="55">
        <v>0</v>
      </c>
      <c r="H205" s="55">
        <f t="shared" si="25"/>
        <v>0</v>
      </c>
      <c r="I205" s="55">
        <v>13.2</v>
      </c>
      <c r="J205" s="69" t="str">
        <f t="shared" si="26"/>
        <v>Semiabrazadera c/Lóbulo p/bulón MN 48</v>
      </c>
    </row>
    <row r="206" spans="2:10" ht="24" x14ac:dyDescent="0.25">
      <c r="B206" s="155" t="s">
        <v>181</v>
      </c>
      <c r="C206" s="156" t="s">
        <v>182</v>
      </c>
      <c r="D206" s="157" t="s">
        <v>51</v>
      </c>
      <c r="E206" s="158">
        <f>+G206*0.8*0.9*0.95</f>
        <v>1.3289983200000002</v>
      </c>
      <c r="F206" s="157"/>
      <c r="G206" s="55">
        <v>1.9429800000000002</v>
      </c>
      <c r="H206" s="55" t="str">
        <f t="shared" si="25"/>
        <v>Semiabrazadera C/Lobulo para Bulon Mn 48 Q 1501 E.P.E.C R 50 Diam.100</v>
      </c>
      <c r="I206" s="55">
        <v>13.2</v>
      </c>
      <c r="J206" s="69" t="str">
        <f t="shared" si="26"/>
        <v>0A050</v>
      </c>
    </row>
    <row r="207" spans="2:10" ht="24" x14ac:dyDescent="0.25">
      <c r="B207" s="113" t="s">
        <v>183</v>
      </c>
      <c r="C207" s="114" t="s">
        <v>184</v>
      </c>
      <c r="D207" s="115" t="s">
        <v>51</v>
      </c>
      <c r="E207" s="158">
        <f t="shared" ref="E207:E212" si="27">+G207*0.8*0.9*0.95</f>
        <v>1.2804206400000002</v>
      </c>
      <c r="F207" s="115"/>
      <c r="G207" s="55">
        <v>1.8719600000000001</v>
      </c>
      <c r="H207" s="55" t="str">
        <f t="shared" si="25"/>
        <v>Semiabrazadera C/Lobulo para Bulon Mn.48 Q1502 E.P.E.C R 63 Diam.126</v>
      </c>
      <c r="I207" s="55">
        <v>13.2</v>
      </c>
      <c r="J207" s="69" t="str">
        <f t="shared" si="26"/>
        <v>0A051</v>
      </c>
    </row>
    <row r="208" spans="2:10" ht="24" x14ac:dyDescent="0.25">
      <c r="B208" s="155" t="s">
        <v>185</v>
      </c>
      <c r="C208" s="156" t="s">
        <v>186</v>
      </c>
      <c r="D208" s="115" t="s">
        <v>51</v>
      </c>
      <c r="E208" s="158">
        <f t="shared" si="27"/>
        <v>1.3949769599999999</v>
      </c>
      <c r="F208" s="115"/>
      <c r="G208" s="55">
        <v>2.0394399999999999</v>
      </c>
      <c r="H208" s="55" t="str">
        <f t="shared" si="25"/>
        <v>Semiabrazadera C/Lobulo para Bulon Mn.48  Q 1503 E.P.E.C R  80 Diam.160</v>
      </c>
      <c r="I208" s="55">
        <v>13.2</v>
      </c>
      <c r="J208" s="69" t="str">
        <f t="shared" si="26"/>
        <v>0A052</v>
      </c>
    </row>
    <row r="209" spans="2:10" ht="24" x14ac:dyDescent="0.25">
      <c r="B209" s="113" t="s">
        <v>187</v>
      </c>
      <c r="C209" s="114" t="s">
        <v>188</v>
      </c>
      <c r="D209" s="115" t="s">
        <v>51</v>
      </c>
      <c r="E209" s="158">
        <f t="shared" si="27"/>
        <v>1.7879486400000004</v>
      </c>
      <c r="F209" s="115"/>
      <c r="G209" s="55">
        <v>2.6139600000000005</v>
      </c>
      <c r="H209" s="55" t="str">
        <f t="shared" si="25"/>
        <v>Semiabrazadera C/Lobulo para Bulon Mn.48 Q 1504 E.P.E.C R 100 Diam.200</v>
      </c>
      <c r="I209" s="55">
        <v>13.2</v>
      </c>
      <c r="J209" s="69" t="str">
        <f t="shared" si="26"/>
        <v>0A053</v>
      </c>
    </row>
    <row r="210" spans="2:10" ht="24" x14ac:dyDescent="0.25">
      <c r="B210" s="176" t="s">
        <v>189</v>
      </c>
      <c r="C210" s="177" t="s">
        <v>190</v>
      </c>
      <c r="D210" s="178" t="s">
        <v>51</v>
      </c>
      <c r="E210" s="158">
        <f t="shared" si="27"/>
        <v>2.0076357599999999</v>
      </c>
      <c r="F210" s="178"/>
      <c r="G210" s="55">
        <v>2.9351400000000001</v>
      </c>
      <c r="H210" s="55" t="str">
        <f t="shared" si="25"/>
        <v>Semiabrazadera C/Lobulo para Bulon Mn.48 Q 1505 E.P.E.C A  125 Diam.250</v>
      </c>
      <c r="I210" s="55">
        <v>13.2</v>
      </c>
      <c r="J210" s="69" t="str">
        <f t="shared" si="26"/>
        <v>0A054</v>
      </c>
    </row>
    <row r="211" spans="2:10" ht="24" x14ac:dyDescent="0.25">
      <c r="B211" s="113" t="s">
        <v>191</v>
      </c>
      <c r="C211" s="114" t="s">
        <v>192</v>
      </c>
      <c r="D211" s="115" t="s">
        <v>51</v>
      </c>
      <c r="E211" s="158">
        <f t="shared" si="27"/>
        <v>2.3498546400000002</v>
      </c>
      <c r="F211" s="179"/>
      <c r="G211" s="55">
        <v>3.4354600000000004</v>
      </c>
      <c r="H211" s="55" t="str">
        <f t="shared" si="25"/>
        <v>Semiabrazadera C/Lobulo para Bulon Mn.48 Q 1506 E.P.E.C R  160 Diam.320</v>
      </c>
      <c r="I211" s="55">
        <v>13.2</v>
      </c>
      <c r="J211" s="69" t="str">
        <f t="shared" si="26"/>
        <v>0A055</v>
      </c>
    </row>
    <row r="212" spans="2:10" ht="24.75" thickBot="1" x14ac:dyDescent="0.3">
      <c r="B212" s="144" t="s">
        <v>193</v>
      </c>
      <c r="C212" s="145" t="s">
        <v>194</v>
      </c>
      <c r="D212" s="146" t="s">
        <v>51</v>
      </c>
      <c r="E212" s="158">
        <f t="shared" si="27"/>
        <v>2.7138247199999999</v>
      </c>
      <c r="F212" s="146"/>
      <c r="G212" s="55">
        <v>3.9675799999999999</v>
      </c>
      <c r="H212" s="55" t="str">
        <f t="shared" si="25"/>
        <v>Semiabrazadera C/Lobulo para Bulon Mn.48 Q 1507 E.P.E.C R 200 Diam.400</v>
      </c>
      <c r="I212" s="55">
        <v>13.2</v>
      </c>
      <c r="J212" s="69" t="str">
        <f t="shared" si="26"/>
        <v>0A056</v>
      </c>
    </row>
    <row r="213" spans="2:10" x14ac:dyDescent="0.25">
      <c r="B213" s="148"/>
      <c r="C213" s="149"/>
      <c r="D213" s="150"/>
      <c r="E213" s="151"/>
      <c r="F213" s="150"/>
      <c r="G213" s="55">
        <v>0</v>
      </c>
      <c r="H213" s="55">
        <f t="shared" si="25"/>
        <v>0</v>
      </c>
      <c r="I213" s="55">
        <v>13.2</v>
      </c>
      <c r="J213" s="69">
        <f t="shared" si="26"/>
        <v>0</v>
      </c>
    </row>
    <row r="214" spans="2:10" ht="15.75" x14ac:dyDescent="0.25">
      <c r="B214" s="180" t="s">
        <v>195</v>
      </c>
      <c r="C214" s="180"/>
      <c r="D214" s="180"/>
      <c r="E214" s="181"/>
      <c r="F214" s="168"/>
      <c r="G214" s="55">
        <v>0</v>
      </c>
      <c r="H214" s="55">
        <f t="shared" si="25"/>
        <v>0</v>
      </c>
      <c r="I214" s="55">
        <v>13.2</v>
      </c>
      <c r="J214" s="69" t="str">
        <f t="shared" si="26"/>
        <v>Bulón para Semiabrazadera con lóbulo</v>
      </c>
    </row>
    <row r="215" spans="2:10" ht="16.5" thickBot="1" x14ac:dyDescent="0.3">
      <c r="B215" s="144">
        <v>1817</v>
      </c>
      <c r="C215" s="145" t="s">
        <v>196</v>
      </c>
      <c r="D215" s="146" t="s">
        <v>51</v>
      </c>
      <c r="E215" s="182">
        <v>6</v>
      </c>
      <c r="F215" s="183"/>
      <c r="G215" s="55">
        <v>1.29956</v>
      </c>
      <c r="H215" s="55" t="str">
        <f t="shared" si="25"/>
        <v>Bulon Mn. 48 C/Arandela Plana Grower Y Tuerca</v>
      </c>
      <c r="I215" s="55">
        <v>13.2</v>
      </c>
      <c r="J215" s="69">
        <f t="shared" si="26"/>
        <v>1817</v>
      </c>
    </row>
    <row r="216" spans="2:10" x14ac:dyDescent="0.25">
      <c r="F216" s="150"/>
      <c r="G216" s="55">
        <v>0</v>
      </c>
      <c r="H216" s="55">
        <f t="shared" si="25"/>
        <v>0</v>
      </c>
      <c r="I216" s="55">
        <v>13.2</v>
      </c>
      <c r="J216" s="69">
        <f t="shared" si="26"/>
        <v>0</v>
      </c>
    </row>
    <row r="217" spans="2:10" ht="16.5" thickBot="1" x14ac:dyDescent="0.3">
      <c r="B217" s="174" t="s">
        <v>197</v>
      </c>
      <c r="C217" s="174"/>
      <c r="D217" s="174"/>
      <c r="E217" s="175"/>
      <c r="F217" s="153"/>
      <c r="G217" s="55">
        <v>0</v>
      </c>
      <c r="H217" s="55">
        <f t="shared" si="25"/>
        <v>0</v>
      </c>
      <c r="I217" s="55">
        <v>13.2</v>
      </c>
      <c r="J217" s="69" t="str">
        <f t="shared" si="26"/>
        <v>Semiabrazadera Q LISAS</v>
      </c>
    </row>
    <row r="218" spans="2:10" x14ac:dyDescent="0.25">
      <c r="B218" s="148" t="s">
        <v>198</v>
      </c>
      <c r="C218" s="149" t="s">
        <v>199</v>
      </c>
      <c r="D218" s="150" t="s">
        <v>51</v>
      </c>
      <c r="E218" s="151">
        <f>+G218*0.8*0.9*0.95</f>
        <v>1.4196283200000004</v>
      </c>
      <c r="F218" s="157"/>
      <c r="G218" s="55">
        <v>2.0754800000000002</v>
      </c>
      <c r="H218" s="55" t="str">
        <f t="shared" si="25"/>
        <v>Semiabrazadera Q 151 E.P.E.C.  R 50 DIAM.100</v>
      </c>
      <c r="I218" s="55">
        <v>13.2</v>
      </c>
      <c r="J218" s="69" t="str">
        <f t="shared" si="26"/>
        <v>A001</v>
      </c>
    </row>
    <row r="219" spans="2:10" x14ac:dyDescent="0.25">
      <c r="B219" s="113" t="s">
        <v>200</v>
      </c>
      <c r="C219" s="114" t="s">
        <v>201</v>
      </c>
      <c r="D219" s="115" t="s">
        <v>51</v>
      </c>
      <c r="E219" s="151">
        <f t="shared" ref="E219:E224" si="28">+G219*0.8*0.9*0.95</f>
        <v>1.5414350400000001</v>
      </c>
      <c r="F219" s="157"/>
      <c r="G219" s="55">
        <v>2.2535599999999998</v>
      </c>
      <c r="H219" s="55" t="str">
        <f t="shared" si="25"/>
        <v>Semiabrazadera Q 152 E.P.E.C.  R 63 DIAM.126</v>
      </c>
      <c r="I219" s="55">
        <v>13.2</v>
      </c>
      <c r="J219" s="69" t="str">
        <f t="shared" si="26"/>
        <v>A002</v>
      </c>
    </row>
    <row r="220" spans="2:10" x14ac:dyDescent="0.25">
      <c r="B220" s="155" t="s">
        <v>202</v>
      </c>
      <c r="C220" s="114" t="s">
        <v>203</v>
      </c>
      <c r="D220" s="115" t="s">
        <v>51</v>
      </c>
      <c r="E220" s="151">
        <f t="shared" si="28"/>
        <v>1.7161696799999999</v>
      </c>
      <c r="F220" s="157"/>
      <c r="G220" s="55">
        <v>2.50902</v>
      </c>
      <c r="H220" s="55" t="str">
        <f t="shared" si="25"/>
        <v>Semiabrazadera Q 153 E.P.E.C.  R 80 DIAM.160</v>
      </c>
      <c r="I220" s="55">
        <v>13.2</v>
      </c>
      <c r="J220" s="69" t="str">
        <f t="shared" si="26"/>
        <v>A003</v>
      </c>
    </row>
    <row r="221" spans="2:10" x14ac:dyDescent="0.25">
      <c r="B221" s="155" t="s">
        <v>204</v>
      </c>
      <c r="C221" s="156" t="s">
        <v>205</v>
      </c>
      <c r="D221" s="115" t="s">
        <v>51</v>
      </c>
      <c r="E221" s="151">
        <f t="shared" si="28"/>
        <v>1.7879486400000004</v>
      </c>
      <c r="F221" s="115"/>
      <c r="G221" s="55">
        <v>2.6139600000000005</v>
      </c>
      <c r="H221" s="55" t="str">
        <f t="shared" si="25"/>
        <v>Semiabrazadera Q 154 E.P.E.C.  R 100 DIAM.200</v>
      </c>
      <c r="I221" s="55">
        <v>13.2</v>
      </c>
      <c r="J221" s="69" t="str">
        <f t="shared" si="26"/>
        <v>A004</v>
      </c>
    </row>
    <row r="222" spans="2:10" x14ac:dyDescent="0.25">
      <c r="B222" s="113" t="s">
        <v>206</v>
      </c>
      <c r="C222" s="114" t="s">
        <v>207</v>
      </c>
      <c r="D222" s="115" t="s">
        <v>51</v>
      </c>
      <c r="E222" s="151">
        <f t="shared" si="28"/>
        <v>2.0888402400000001</v>
      </c>
      <c r="F222" s="115"/>
      <c r="G222" s="55">
        <v>3.0538599999999998</v>
      </c>
      <c r="H222" s="55" t="str">
        <f t="shared" si="25"/>
        <v>Semiabrazadera Q 155 E.P.E.C.  R 125 DIAM.250</v>
      </c>
      <c r="I222" s="55">
        <v>13.2</v>
      </c>
      <c r="J222" s="69" t="str">
        <f t="shared" si="26"/>
        <v>A005</v>
      </c>
    </row>
    <row r="223" spans="2:10" ht="15.75" x14ac:dyDescent="0.25">
      <c r="B223" s="155" t="s">
        <v>208</v>
      </c>
      <c r="C223" s="156" t="s">
        <v>209</v>
      </c>
      <c r="D223" s="157" t="s">
        <v>51</v>
      </c>
      <c r="E223" s="151">
        <f t="shared" si="28"/>
        <v>2.4810868800000003</v>
      </c>
      <c r="F223" s="184"/>
      <c r="G223" s="55">
        <v>3.6273200000000005</v>
      </c>
      <c r="H223" s="55" t="str">
        <f t="shared" si="25"/>
        <v>Semiabrazadera Q 156 E.P.E.C.  R 160 DIAM. 320</v>
      </c>
      <c r="I223" s="55">
        <v>13.2</v>
      </c>
      <c r="J223" s="69" t="str">
        <f t="shared" si="26"/>
        <v>A006</v>
      </c>
    </row>
    <row r="224" spans="2:10" ht="15.75" thickBot="1" x14ac:dyDescent="0.3">
      <c r="B224" s="144" t="s">
        <v>210</v>
      </c>
      <c r="C224" s="145" t="s">
        <v>211</v>
      </c>
      <c r="D224" s="146" t="s">
        <v>51</v>
      </c>
      <c r="E224" s="151">
        <f t="shared" si="28"/>
        <v>2.91683592</v>
      </c>
      <c r="F224" s="146"/>
      <c r="G224" s="55">
        <v>4.2643800000000001</v>
      </c>
      <c r="H224" s="55" t="str">
        <f t="shared" si="25"/>
        <v>Semiabrazadera Q 157 E.P.E.C.  R 200 DIAM. 400</v>
      </c>
      <c r="I224" s="55">
        <v>13.2</v>
      </c>
      <c r="J224" s="69" t="str">
        <f t="shared" si="26"/>
        <v>A007</v>
      </c>
    </row>
    <row r="225" spans="2:10" x14ac:dyDescent="0.25">
      <c r="B225" s="148"/>
      <c r="C225" s="149"/>
      <c r="D225" s="150"/>
      <c r="E225" s="151"/>
      <c r="F225" s="150"/>
      <c r="G225" s="55">
        <v>0</v>
      </c>
      <c r="H225" s="55">
        <f t="shared" si="25"/>
        <v>0</v>
      </c>
      <c r="I225" s="55">
        <v>13.2</v>
      </c>
      <c r="J225" s="69">
        <f t="shared" si="26"/>
        <v>0</v>
      </c>
    </row>
    <row r="226" spans="2:10" ht="15.75" x14ac:dyDescent="0.25">
      <c r="B226" s="184" t="s">
        <v>212</v>
      </c>
      <c r="C226" s="184"/>
      <c r="D226" s="184"/>
      <c r="E226" s="185"/>
      <c r="F226" s="186"/>
      <c r="G226" s="55">
        <v>0</v>
      </c>
      <c r="H226" s="55">
        <f t="shared" si="25"/>
        <v>0</v>
      </c>
      <c r="I226" s="55">
        <v>13.2</v>
      </c>
      <c r="J226" s="69" t="str">
        <f t="shared" si="26"/>
        <v xml:space="preserve">Bulón para Semiabrazadera </v>
      </c>
    </row>
    <row r="227" spans="2:10" ht="15.75" thickBot="1" x14ac:dyDescent="0.3">
      <c r="B227" s="144">
        <v>1816</v>
      </c>
      <c r="C227" s="145" t="s">
        <v>213</v>
      </c>
      <c r="D227" s="146" t="s">
        <v>51</v>
      </c>
      <c r="E227" s="182">
        <f>+G227*0.8*0.9*0.95</f>
        <v>1.1731147200000001</v>
      </c>
      <c r="F227" s="187"/>
      <c r="G227" s="55">
        <v>1.7150800000000002</v>
      </c>
      <c r="H227" s="55" t="str">
        <f t="shared" si="25"/>
        <v>Bulon Mn. 49 C/Arandela Plana Grower Y Tuerca</v>
      </c>
      <c r="I227" s="55">
        <v>13.2</v>
      </c>
      <c r="J227" s="69">
        <f t="shared" si="26"/>
        <v>1816</v>
      </c>
    </row>
    <row r="228" spans="2:10" x14ac:dyDescent="0.25">
      <c r="B228" s="148"/>
      <c r="C228" s="149"/>
      <c r="D228" s="150"/>
      <c r="E228" s="151"/>
      <c r="F228" s="168"/>
      <c r="G228" s="55">
        <v>0</v>
      </c>
      <c r="H228" s="55">
        <f t="shared" si="25"/>
        <v>0</v>
      </c>
      <c r="I228" s="55">
        <v>13.2</v>
      </c>
      <c r="J228" s="69">
        <f t="shared" si="26"/>
        <v>0</v>
      </c>
    </row>
    <row r="229" spans="2:10" x14ac:dyDescent="0.25">
      <c r="B229" s="148"/>
      <c r="C229" s="149"/>
      <c r="D229" s="150"/>
      <c r="E229" s="151"/>
      <c r="F229" s="168"/>
      <c r="G229" s="55">
        <v>0</v>
      </c>
      <c r="H229" s="55">
        <f t="shared" si="25"/>
        <v>0</v>
      </c>
      <c r="I229" s="55">
        <v>13.2</v>
      </c>
      <c r="J229" s="69">
        <f t="shared" si="26"/>
        <v>0</v>
      </c>
    </row>
    <row r="230" spans="2:10" x14ac:dyDescent="0.25">
      <c r="B230" s="148"/>
      <c r="C230" s="149"/>
      <c r="D230" s="150"/>
      <c r="E230" s="151"/>
      <c r="F230" s="168"/>
      <c r="G230" s="55">
        <v>0</v>
      </c>
      <c r="H230" s="55">
        <f t="shared" si="25"/>
        <v>0</v>
      </c>
      <c r="I230" s="55">
        <v>13.2</v>
      </c>
      <c r="J230" s="69">
        <f t="shared" si="26"/>
        <v>0</v>
      </c>
    </row>
    <row r="231" spans="2:10" x14ac:dyDescent="0.25">
      <c r="B231" s="148"/>
      <c r="C231" s="149"/>
      <c r="D231" s="150"/>
      <c r="E231" s="151"/>
      <c r="F231" s="168"/>
      <c r="G231" s="55">
        <v>0</v>
      </c>
      <c r="H231" s="55">
        <f t="shared" si="25"/>
        <v>0</v>
      </c>
      <c r="I231" s="55">
        <v>13.2</v>
      </c>
      <c r="J231" s="69">
        <f t="shared" si="26"/>
        <v>0</v>
      </c>
    </row>
    <row r="232" spans="2:10" x14ac:dyDescent="0.25">
      <c r="B232" s="148"/>
      <c r="C232" s="149"/>
      <c r="D232" s="150"/>
      <c r="E232" s="151"/>
      <c r="F232" s="168"/>
      <c r="G232" s="55">
        <v>0</v>
      </c>
      <c r="H232" s="55">
        <f t="shared" si="25"/>
        <v>0</v>
      </c>
      <c r="I232" s="55">
        <v>13.2</v>
      </c>
      <c r="J232" s="69">
        <f t="shared" si="26"/>
        <v>0</v>
      </c>
    </row>
    <row r="233" spans="2:10" x14ac:dyDescent="0.25">
      <c r="B233" s="148"/>
      <c r="C233" s="149"/>
      <c r="D233" s="150"/>
      <c r="E233" s="151"/>
      <c r="F233" s="168"/>
      <c r="G233" s="55">
        <v>0</v>
      </c>
      <c r="H233" s="55">
        <f t="shared" si="25"/>
        <v>0</v>
      </c>
      <c r="I233" s="55">
        <v>13.2</v>
      </c>
      <c r="J233" s="69">
        <f t="shared" si="26"/>
        <v>0</v>
      </c>
    </row>
    <row r="234" spans="2:10" x14ac:dyDescent="0.25">
      <c r="B234" s="148"/>
      <c r="C234" s="149"/>
      <c r="D234" s="150"/>
      <c r="E234" s="151"/>
      <c r="F234" s="168"/>
      <c r="G234" s="55">
        <v>0</v>
      </c>
      <c r="H234" s="55">
        <f t="shared" si="25"/>
        <v>0</v>
      </c>
      <c r="I234" s="55">
        <v>13.2</v>
      </c>
      <c r="J234" s="69">
        <f t="shared" si="26"/>
        <v>0</v>
      </c>
    </row>
    <row r="235" spans="2:10" ht="15.75" thickBot="1" x14ac:dyDescent="0.3">
      <c r="B235" s="148"/>
      <c r="C235" s="149"/>
      <c r="D235" s="150"/>
      <c r="E235" s="151"/>
      <c r="F235" s="168"/>
      <c r="G235" s="55">
        <v>0</v>
      </c>
      <c r="H235" s="55">
        <f t="shared" si="25"/>
        <v>0</v>
      </c>
      <c r="I235" s="55">
        <v>13.2</v>
      </c>
      <c r="J235" s="69">
        <f t="shared" si="26"/>
        <v>0</v>
      </c>
    </row>
    <row r="236" spans="2:10" x14ac:dyDescent="0.25">
      <c r="B236" s="58" t="s">
        <v>44</v>
      </c>
      <c r="C236" s="59" t="s">
        <v>45</v>
      </c>
      <c r="D236" s="59" t="s">
        <v>46</v>
      </c>
      <c r="E236" s="60"/>
      <c r="F236" s="59" t="s">
        <v>48</v>
      </c>
      <c r="G236" s="55">
        <v>0</v>
      </c>
      <c r="H236" s="55" t="str">
        <f t="shared" si="25"/>
        <v xml:space="preserve"> DESCRIPCION  </v>
      </c>
      <c r="I236" s="55">
        <v>13.2</v>
      </c>
      <c r="J236" s="69" t="str">
        <f t="shared" si="26"/>
        <v xml:space="preserve">COD                                                                                                                          </v>
      </c>
    </row>
    <row r="237" spans="2:10" x14ac:dyDescent="0.25">
      <c r="B237" s="148"/>
      <c r="C237" s="149"/>
      <c r="D237" s="150"/>
      <c r="E237" s="151"/>
      <c r="F237" s="168"/>
      <c r="G237" s="55">
        <v>0</v>
      </c>
      <c r="H237" s="55">
        <f t="shared" si="25"/>
        <v>0</v>
      </c>
      <c r="I237" s="55">
        <v>13.2</v>
      </c>
      <c r="J237" s="69">
        <f t="shared" si="26"/>
        <v>0</v>
      </c>
    </row>
    <row r="238" spans="2:10" ht="16.5" thickBot="1" x14ac:dyDescent="0.3">
      <c r="B238" s="174" t="s">
        <v>214</v>
      </c>
      <c r="C238" s="174"/>
      <c r="D238" s="174"/>
      <c r="E238" s="175"/>
      <c r="F238" s="153"/>
      <c r="G238" s="55">
        <v>0</v>
      </c>
      <c r="H238" s="55">
        <f t="shared" si="25"/>
        <v>0</v>
      </c>
      <c r="I238" s="55">
        <v>13.2</v>
      </c>
      <c r="J238" s="69" t="str">
        <f t="shared" si="26"/>
        <v>Semiabrazadera para Caños  Q</v>
      </c>
    </row>
    <row r="239" spans="2:10" ht="24" x14ac:dyDescent="0.25">
      <c r="B239" s="148" t="s">
        <v>215</v>
      </c>
      <c r="C239" s="149" t="s">
        <v>216</v>
      </c>
      <c r="D239" s="150" t="s">
        <v>51</v>
      </c>
      <c r="E239" s="151">
        <f>+G239*0.8*0.9*0.95</f>
        <v>1.6443907200000001</v>
      </c>
      <c r="F239" s="157"/>
      <c r="G239" s="55">
        <v>2.40408</v>
      </c>
      <c r="H239" s="55" t="str">
        <f t="shared" si="25"/>
        <v>Semiabrazadera para Caños  Q 1521 E.P.E.C.  R 50</v>
      </c>
      <c r="I239" s="55">
        <v>13.2</v>
      </c>
      <c r="J239" s="69" t="str">
        <f t="shared" si="26"/>
        <v>A100</v>
      </c>
    </row>
    <row r="240" spans="2:10" ht="24" x14ac:dyDescent="0.25">
      <c r="B240" s="113" t="s">
        <v>217</v>
      </c>
      <c r="C240" s="114" t="s">
        <v>218</v>
      </c>
      <c r="D240" s="115" t="s">
        <v>51</v>
      </c>
      <c r="E240" s="151">
        <f t="shared" ref="E240:E244" si="29">+G240*0.8*0.9*0.95</f>
        <v>1.6132140000000001</v>
      </c>
      <c r="F240" s="157"/>
      <c r="G240" s="55">
        <v>2.3585000000000003</v>
      </c>
      <c r="H240" s="55" t="str">
        <f t="shared" si="25"/>
        <v>Semiabrazadera para Caños  Q 1522 E.P.E.C.  R 63</v>
      </c>
      <c r="I240" s="55">
        <v>13.2</v>
      </c>
      <c r="J240" s="69" t="str">
        <f t="shared" si="26"/>
        <v>A101</v>
      </c>
    </row>
    <row r="241" spans="1:14" ht="24" x14ac:dyDescent="0.25">
      <c r="B241" s="155" t="s">
        <v>219</v>
      </c>
      <c r="C241" s="114" t="s">
        <v>220</v>
      </c>
      <c r="D241" s="115" t="s">
        <v>51</v>
      </c>
      <c r="E241" s="151">
        <f t="shared" si="29"/>
        <v>1.53853488</v>
      </c>
      <c r="F241" s="157"/>
      <c r="G241" s="55">
        <v>2.24932</v>
      </c>
      <c r="H241" s="55" t="str">
        <f t="shared" si="25"/>
        <v>Semiabrazadera para Caños  Q 1523 E.P.E.C.  R 80</v>
      </c>
      <c r="I241" s="55">
        <v>13.2</v>
      </c>
      <c r="J241" s="69" t="str">
        <f t="shared" si="26"/>
        <v>A102</v>
      </c>
    </row>
    <row r="242" spans="1:14" ht="24" x14ac:dyDescent="0.25">
      <c r="B242" s="155" t="s">
        <v>221</v>
      </c>
      <c r="C242" s="156" t="s">
        <v>222</v>
      </c>
      <c r="D242" s="115" t="s">
        <v>51</v>
      </c>
      <c r="E242" s="151">
        <f t="shared" si="29"/>
        <v>2.0185113599999998</v>
      </c>
      <c r="F242" s="115"/>
      <c r="G242" s="55">
        <v>2.9510399999999999</v>
      </c>
      <c r="H242" s="55" t="str">
        <f t="shared" si="25"/>
        <v>Semiabrazadera para Caños  Q 1524 E.P.E.C.  R 100</v>
      </c>
      <c r="I242" s="55">
        <v>13.2</v>
      </c>
      <c r="J242" s="69" t="str">
        <f t="shared" si="26"/>
        <v>A103</v>
      </c>
    </row>
    <row r="243" spans="1:14" ht="24" x14ac:dyDescent="0.25">
      <c r="B243" s="113" t="s">
        <v>223</v>
      </c>
      <c r="C243" s="114" t="s">
        <v>224</v>
      </c>
      <c r="D243" s="115" t="s">
        <v>51</v>
      </c>
      <c r="E243" s="151">
        <f t="shared" si="29"/>
        <v>2.2889512800000005</v>
      </c>
      <c r="F243" s="115"/>
      <c r="G243" s="55">
        <v>3.3464200000000002</v>
      </c>
      <c r="H243" s="55" t="str">
        <f t="shared" si="25"/>
        <v>Semiabrazadera para Caños  Q 1525 E.P.E.C.  R 125</v>
      </c>
      <c r="I243" s="55">
        <v>13.2</v>
      </c>
      <c r="J243" s="69" t="str">
        <f t="shared" si="26"/>
        <v>A104</v>
      </c>
    </row>
    <row r="244" spans="1:14" ht="24.75" thickBot="1" x14ac:dyDescent="0.3">
      <c r="B244" s="144" t="s">
        <v>225</v>
      </c>
      <c r="C244" s="145" t="s">
        <v>226</v>
      </c>
      <c r="D244" s="146" t="s">
        <v>51</v>
      </c>
      <c r="E244" s="151">
        <f t="shared" si="29"/>
        <v>2.7638524800000002</v>
      </c>
      <c r="F244" s="183"/>
      <c r="G244" s="55">
        <v>4.0407200000000003</v>
      </c>
      <c r="H244" s="55" t="str">
        <f t="shared" si="25"/>
        <v>Semiabrazadera para Caños  Q 1526 E.P.E.C.  R 160</v>
      </c>
      <c r="I244" s="55">
        <v>13.2</v>
      </c>
      <c r="J244" s="69" t="str">
        <f t="shared" si="26"/>
        <v>A105</v>
      </c>
    </row>
    <row r="245" spans="1:14" s="16" customFormat="1" x14ac:dyDescent="0.25">
      <c r="A245" s="168"/>
      <c r="B245" s="148"/>
      <c r="C245" s="149"/>
      <c r="D245" s="150"/>
      <c r="E245" s="151"/>
      <c r="F245" s="150"/>
      <c r="G245" s="55">
        <v>0</v>
      </c>
      <c r="H245" s="55">
        <f t="shared" si="25"/>
        <v>0</v>
      </c>
      <c r="I245" s="55">
        <v>13.2</v>
      </c>
      <c r="J245" s="69">
        <f t="shared" si="26"/>
        <v>0</v>
      </c>
      <c r="K245" s="168"/>
      <c r="L245" s="168"/>
      <c r="M245" s="168"/>
      <c r="N245" s="168"/>
    </row>
    <row r="246" spans="1:14" ht="16.5" thickBot="1" x14ac:dyDescent="0.3">
      <c r="B246" s="174" t="s">
        <v>227</v>
      </c>
      <c r="C246" s="174"/>
      <c r="D246" s="174"/>
      <c r="E246" s="175"/>
      <c r="F246" s="153"/>
      <c r="G246" s="55">
        <v>0</v>
      </c>
      <c r="H246" s="55">
        <f t="shared" si="25"/>
        <v>0</v>
      </c>
      <c r="I246" s="55">
        <v>13.2</v>
      </c>
      <c r="J246" s="69" t="str">
        <f t="shared" si="26"/>
        <v>Grampa para puesta a tierra "G" A o B</v>
      </c>
    </row>
    <row r="247" spans="1:14" x14ac:dyDescent="0.25">
      <c r="B247" s="148" t="s">
        <v>228</v>
      </c>
      <c r="C247" s="149" t="s">
        <v>229</v>
      </c>
      <c r="D247" s="150" t="s">
        <v>51</v>
      </c>
      <c r="E247" s="151"/>
      <c r="F247" s="157"/>
      <c r="G247" s="55">
        <v>0</v>
      </c>
      <c r="H247" s="55" t="str">
        <f t="shared" si="25"/>
        <v>Grampa para puesta a tierra G 301 A   E.P.E.C.</v>
      </c>
      <c r="I247" s="55">
        <v>13.2</v>
      </c>
      <c r="J247" s="69" t="str">
        <f t="shared" si="26"/>
        <v>A150</v>
      </c>
    </row>
    <row r="248" spans="1:14" x14ac:dyDescent="0.25">
      <c r="B248" s="113" t="s">
        <v>230</v>
      </c>
      <c r="C248" s="114" t="s">
        <v>231</v>
      </c>
      <c r="D248" s="115" t="s">
        <v>51</v>
      </c>
      <c r="E248" s="188"/>
      <c r="F248" s="157"/>
      <c r="G248" s="55">
        <v>0</v>
      </c>
      <c r="H248" s="55" t="str">
        <f t="shared" si="25"/>
        <v>Grampa para puesta a tierra G 302 A   E.P.E.C.</v>
      </c>
      <c r="I248" s="55">
        <v>13.2</v>
      </c>
      <c r="J248" s="69" t="str">
        <f t="shared" si="26"/>
        <v>A151</v>
      </c>
    </row>
    <row r="249" spans="1:14" x14ac:dyDescent="0.25">
      <c r="B249" s="155" t="s">
        <v>232</v>
      </c>
      <c r="C249" s="114" t="s">
        <v>233</v>
      </c>
      <c r="D249" s="115" t="s">
        <v>51</v>
      </c>
      <c r="E249" s="158"/>
      <c r="F249" s="157"/>
      <c r="G249" s="55">
        <v>0</v>
      </c>
      <c r="H249" s="55" t="str">
        <f t="shared" si="25"/>
        <v>Grampa para puesta a tierra G 301 B   E.P.E.C.</v>
      </c>
      <c r="I249" s="55">
        <v>13.2</v>
      </c>
      <c r="J249" s="69" t="str">
        <f t="shared" si="26"/>
        <v>A170</v>
      </c>
    </row>
    <row r="250" spans="1:14" x14ac:dyDescent="0.25">
      <c r="B250" s="155" t="s">
        <v>234</v>
      </c>
      <c r="C250" s="156" t="s">
        <v>235</v>
      </c>
      <c r="D250" s="115" t="s">
        <v>51</v>
      </c>
      <c r="E250" s="158"/>
      <c r="F250" s="115"/>
      <c r="G250" s="55">
        <v>0</v>
      </c>
      <c r="H250" s="55" t="str">
        <f t="shared" si="25"/>
        <v>Grampa para puesta a tierra G 302 B   E.P.E.C.</v>
      </c>
      <c r="I250" s="55">
        <v>13.2</v>
      </c>
      <c r="J250" s="69" t="str">
        <f t="shared" si="26"/>
        <v>A171</v>
      </c>
    </row>
    <row r="251" spans="1:14" x14ac:dyDescent="0.25">
      <c r="B251" s="113"/>
      <c r="C251" s="114"/>
      <c r="D251" s="115"/>
      <c r="E251" s="188"/>
      <c r="F251" s="115"/>
      <c r="G251" s="55">
        <v>0</v>
      </c>
      <c r="H251" s="55">
        <f t="shared" si="25"/>
        <v>0</v>
      </c>
      <c r="I251" s="55">
        <v>13.2</v>
      </c>
      <c r="J251" s="69">
        <f t="shared" si="26"/>
        <v>0</v>
      </c>
    </row>
    <row r="252" spans="1:14" x14ac:dyDescent="0.25">
      <c r="B252" s="113" t="s">
        <v>236</v>
      </c>
      <c r="C252" s="114" t="s">
        <v>237</v>
      </c>
      <c r="D252" s="115" t="s">
        <v>51</v>
      </c>
      <c r="E252" s="188"/>
      <c r="F252" s="157"/>
      <c r="G252" s="55">
        <v>0</v>
      </c>
      <c r="H252" s="55" t="str">
        <f t="shared" si="25"/>
        <v>Grampa para puesta a tierra G 303       E.P.E.C.</v>
      </c>
      <c r="I252" s="55">
        <v>13.2</v>
      </c>
      <c r="J252" s="69" t="str">
        <f t="shared" si="26"/>
        <v>A180</v>
      </c>
    </row>
    <row r="253" spans="1:14" x14ac:dyDescent="0.25">
      <c r="B253" s="155" t="s">
        <v>238</v>
      </c>
      <c r="C253" s="114" t="s">
        <v>239</v>
      </c>
      <c r="D253" s="115" t="s">
        <v>51</v>
      </c>
      <c r="E253" s="158"/>
      <c r="F253" s="157"/>
      <c r="G253" s="55">
        <v>0</v>
      </c>
      <c r="H253" s="55" t="str">
        <f t="shared" si="25"/>
        <v>Grampa para puesta a tierra G 304       E.P.E.C.</v>
      </c>
      <c r="I253" s="55">
        <v>13.2</v>
      </c>
      <c r="J253" s="69" t="str">
        <f t="shared" si="26"/>
        <v>A181</v>
      </c>
    </row>
    <row r="254" spans="1:14" ht="15.75" thickBot="1" x14ac:dyDescent="0.3">
      <c r="B254" s="144" t="s">
        <v>240</v>
      </c>
      <c r="C254" s="145" t="s">
        <v>241</v>
      </c>
      <c r="D254" s="146" t="s">
        <v>51</v>
      </c>
      <c r="E254" s="182"/>
      <c r="F254" s="146"/>
      <c r="G254" s="55">
        <v>0</v>
      </c>
      <c r="H254" s="55" t="str">
        <f t="shared" si="25"/>
        <v>Grampa para puesta a tierra G 305       E.P.E.C.</v>
      </c>
      <c r="I254" s="55">
        <v>13.2</v>
      </c>
      <c r="J254" s="69" t="str">
        <f t="shared" si="26"/>
        <v>A182</v>
      </c>
    </row>
    <row r="255" spans="1:14" x14ac:dyDescent="0.25">
      <c r="B255" s="24"/>
      <c r="C255" s="24"/>
      <c r="D255" s="24"/>
      <c r="E255" s="151"/>
      <c r="F255" s="168"/>
      <c r="G255" s="55">
        <v>0</v>
      </c>
      <c r="H255" s="55">
        <f t="shared" si="25"/>
        <v>0</v>
      </c>
      <c r="I255" s="55">
        <v>13.2</v>
      </c>
      <c r="J255" s="69">
        <f t="shared" si="26"/>
        <v>0</v>
      </c>
    </row>
    <row r="256" spans="1:14" ht="16.5" thickBot="1" x14ac:dyDescent="0.3">
      <c r="B256" s="174" t="s">
        <v>242</v>
      </c>
      <c r="C256" s="174"/>
      <c r="D256" s="174"/>
      <c r="E256" s="175"/>
      <c r="F256" s="153"/>
      <c r="G256" s="55">
        <v>0</v>
      </c>
      <c r="H256" s="55">
        <f t="shared" si="25"/>
        <v>0</v>
      </c>
      <c r="I256" s="55">
        <v>13.2</v>
      </c>
      <c r="J256" s="69" t="str">
        <f t="shared" si="26"/>
        <v>Abrazadera P.K.R.</v>
      </c>
    </row>
    <row r="257" spans="1:10" x14ac:dyDescent="0.25">
      <c r="B257" s="148" t="s">
        <v>243</v>
      </c>
      <c r="C257" s="149" t="s">
        <v>244</v>
      </c>
      <c r="D257" s="150" t="s">
        <v>51</v>
      </c>
      <c r="E257" s="151"/>
      <c r="F257" s="157"/>
      <c r="G257" s="55">
        <v>5.5109399999999997</v>
      </c>
      <c r="H257" s="55" t="str">
        <f t="shared" si="25"/>
        <v>Abrazadera P.K.R. 30</v>
      </c>
      <c r="I257" s="55">
        <v>13.2</v>
      </c>
      <c r="J257" s="69" t="str">
        <f t="shared" si="26"/>
        <v>A200</v>
      </c>
    </row>
    <row r="258" spans="1:10" x14ac:dyDescent="0.25">
      <c r="B258" s="113" t="s">
        <v>245</v>
      </c>
      <c r="C258" s="114" t="s">
        <v>246</v>
      </c>
      <c r="D258" s="115" t="s">
        <v>51</v>
      </c>
      <c r="E258" s="188"/>
      <c r="F258" s="157"/>
      <c r="G258" s="55">
        <v>6.1289199999999999</v>
      </c>
      <c r="H258" s="55" t="str">
        <f t="shared" si="25"/>
        <v>Abrazadera P.K.R. 31</v>
      </c>
      <c r="I258" s="55">
        <v>13.2</v>
      </c>
      <c r="J258" s="69" t="str">
        <f t="shared" si="26"/>
        <v>A201</v>
      </c>
    </row>
    <row r="259" spans="1:10" ht="15.75" thickBot="1" x14ac:dyDescent="0.3">
      <c r="B259" s="144" t="s">
        <v>247</v>
      </c>
      <c r="C259" s="145" t="s">
        <v>248</v>
      </c>
      <c r="D259" s="146" t="s">
        <v>51</v>
      </c>
      <c r="E259" s="182"/>
      <c r="F259" s="146"/>
      <c r="G259" s="55">
        <v>6.04094</v>
      </c>
      <c r="H259" s="55" t="str">
        <f t="shared" si="25"/>
        <v>Abrazadera P.K.R. 32</v>
      </c>
      <c r="I259" s="55">
        <v>13.2</v>
      </c>
      <c r="J259" s="69" t="str">
        <f t="shared" si="26"/>
        <v>A202</v>
      </c>
    </row>
    <row r="260" spans="1:10" ht="15.75" thickBot="1" x14ac:dyDescent="0.3">
      <c r="B260" s="189"/>
      <c r="C260" s="190"/>
      <c r="D260" s="153"/>
      <c r="E260" s="154"/>
      <c r="F260" s="153"/>
      <c r="G260" s="55">
        <v>0</v>
      </c>
      <c r="H260" s="55">
        <f t="shared" si="25"/>
        <v>0</v>
      </c>
      <c r="I260" s="55">
        <v>13.2</v>
      </c>
      <c r="J260" s="69">
        <f t="shared" si="26"/>
        <v>0</v>
      </c>
    </row>
    <row r="261" spans="1:10" ht="16.5" thickBot="1" x14ac:dyDescent="0.3">
      <c r="B261" s="191" t="s">
        <v>249</v>
      </c>
      <c r="C261" s="192"/>
      <c r="D261" s="193"/>
      <c r="E261" s="194"/>
      <c r="F261" s="193"/>
      <c r="G261" s="55">
        <v>0</v>
      </c>
      <c r="H261" s="55">
        <f t="shared" si="25"/>
        <v>0</v>
      </c>
      <c r="I261" s="55">
        <v>13.2</v>
      </c>
      <c r="J261" s="69" t="str">
        <f t="shared" si="26"/>
        <v xml:space="preserve">Arandela Plana </v>
      </c>
    </row>
    <row r="262" spans="1:10" ht="15.75" x14ac:dyDescent="0.25">
      <c r="B262" s="155" t="s">
        <v>250</v>
      </c>
      <c r="C262" s="156" t="s">
        <v>251</v>
      </c>
      <c r="D262" s="157" t="s">
        <v>51</v>
      </c>
      <c r="E262" s="158"/>
      <c r="F262" s="184"/>
      <c r="G262" s="55">
        <v>0</v>
      </c>
      <c r="H262" s="55" t="str">
        <f t="shared" si="25"/>
        <v>Arandela Plana M.N. 31 E.P.E.C.</v>
      </c>
      <c r="I262" s="55">
        <v>13.2</v>
      </c>
      <c r="J262" s="69" t="str">
        <f t="shared" si="26"/>
        <v>A701</v>
      </c>
    </row>
    <row r="263" spans="1:10" ht="15.75" thickBot="1" x14ac:dyDescent="0.3">
      <c r="B263" s="144" t="s">
        <v>252</v>
      </c>
      <c r="C263" s="145" t="s">
        <v>253</v>
      </c>
      <c r="D263" s="146" t="s">
        <v>51</v>
      </c>
      <c r="E263" s="182"/>
      <c r="F263" s="146"/>
      <c r="G263" s="55">
        <v>0</v>
      </c>
      <c r="H263" s="55" t="str">
        <f t="shared" si="25"/>
        <v>Arandela Plana M.N. 32 E.P.E.C.</v>
      </c>
      <c r="I263" s="55">
        <v>13.2</v>
      </c>
      <c r="J263" s="69" t="str">
        <f t="shared" si="26"/>
        <v>A702</v>
      </c>
    </row>
    <row r="264" spans="1:10" x14ac:dyDescent="0.25">
      <c r="B264" s="24"/>
      <c r="C264" s="24"/>
      <c r="D264" s="24"/>
      <c r="E264" s="151"/>
      <c r="F264" s="168"/>
      <c r="G264" s="55">
        <v>0</v>
      </c>
      <c r="H264" s="55">
        <f t="shared" ref="H264:H283" si="30">+C264</f>
        <v>0</v>
      </c>
      <c r="I264" s="55">
        <v>13.2</v>
      </c>
      <c r="J264" s="69">
        <f t="shared" ref="J264:J284" si="31">+B264</f>
        <v>0</v>
      </c>
    </row>
    <row r="265" spans="1:10" ht="16.5" thickBot="1" x14ac:dyDescent="0.3">
      <c r="B265" s="174" t="s">
        <v>254</v>
      </c>
      <c r="C265" s="174"/>
      <c r="D265" s="174"/>
      <c r="E265" s="175"/>
      <c r="F265" s="153"/>
      <c r="G265" s="55">
        <v>0</v>
      </c>
      <c r="H265" s="55">
        <f t="shared" si="30"/>
        <v>0</v>
      </c>
      <c r="I265" s="55">
        <v>13.2</v>
      </c>
      <c r="J265" s="69" t="str">
        <f t="shared" si="31"/>
        <v>Arandela de Presión (Grower)</v>
      </c>
    </row>
    <row r="266" spans="1:10" ht="15.75" thickBot="1" x14ac:dyDescent="0.3">
      <c r="B266" s="195" t="s">
        <v>255</v>
      </c>
      <c r="C266" s="192" t="s">
        <v>256</v>
      </c>
      <c r="D266" s="193" t="s">
        <v>51</v>
      </c>
      <c r="E266" s="194"/>
      <c r="F266" s="193"/>
      <c r="G266" s="55">
        <v>0</v>
      </c>
      <c r="H266" s="55" t="str">
        <f t="shared" si="30"/>
        <v>Arandela de Presión (Grower) M.N. 32 C E.P.E.C.</v>
      </c>
      <c r="I266" s="55">
        <v>13.2</v>
      </c>
      <c r="J266" s="69" t="str">
        <f t="shared" si="31"/>
        <v>A752</v>
      </c>
    </row>
    <row r="267" spans="1:10" x14ac:dyDescent="0.25">
      <c r="B267" s="148"/>
      <c r="C267" s="149"/>
      <c r="D267" s="150"/>
      <c r="E267" s="151"/>
      <c r="F267" s="168"/>
      <c r="G267" s="55">
        <v>0</v>
      </c>
      <c r="H267" s="55">
        <f t="shared" si="30"/>
        <v>0</v>
      </c>
      <c r="I267" s="55">
        <v>13.2</v>
      </c>
      <c r="J267" s="69">
        <f t="shared" si="31"/>
        <v>0</v>
      </c>
    </row>
    <row r="268" spans="1:10" ht="16.5" thickBot="1" x14ac:dyDescent="0.3">
      <c r="A268" s="143"/>
      <c r="B268" s="313" t="s">
        <v>257</v>
      </c>
      <c r="C268" s="313"/>
      <c r="D268" s="313"/>
      <c r="E268" s="313"/>
      <c r="F268" s="313"/>
      <c r="G268" s="55">
        <v>0</v>
      </c>
      <c r="H268" s="55">
        <f t="shared" si="30"/>
        <v>0</v>
      </c>
      <c r="I268" s="55">
        <v>13.2</v>
      </c>
      <c r="J268" s="69" t="str">
        <f t="shared" si="31"/>
        <v>Empalmes Rectos Línea Media Tensión Protegida Compacta 13,2 KV</v>
      </c>
    </row>
    <row r="269" spans="1:10" ht="36.75" thickBot="1" x14ac:dyDescent="0.3">
      <c r="A269" s="143"/>
      <c r="B269" s="196">
        <v>7760</v>
      </c>
      <c r="C269" s="197" t="s">
        <v>258</v>
      </c>
      <c r="D269" s="198" t="s">
        <v>51</v>
      </c>
      <c r="E269" s="199">
        <f>+G269*0.8*0.9*0.95</f>
        <v>10.27164168</v>
      </c>
      <c r="F269" s="198"/>
      <c r="G269" s="55">
        <v>15.01702</v>
      </c>
      <c r="H269" s="55" t="str">
        <f t="shared" si="30"/>
        <v>Empalme Recto Linea MT Protegida Compacta 13, KV 50 mm AL incluye Termocontraible c/adhesivo largo 240 y s/adhesivo largo 280</v>
      </c>
      <c r="I269" s="55">
        <v>13.2</v>
      </c>
      <c r="J269" s="69">
        <f t="shared" si="31"/>
        <v>7760</v>
      </c>
    </row>
    <row r="270" spans="1:10" ht="36.75" thickBot="1" x14ac:dyDescent="0.3">
      <c r="A270" s="143"/>
      <c r="B270" s="90">
        <v>7761</v>
      </c>
      <c r="C270" s="91" t="s">
        <v>259</v>
      </c>
      <c r="D270" s="92" t="s">
        <v>51</v>
      </c>
      <c r="E270" s="199">
        <f t="shared" ref="E270:E271" si="32">+G270*0.8*0.9*0.95</f>
        <v>14.252836320000002</v>
      </c>
      <c r="F270" s="92"/>
      <c r="G270" s="55">
        <v>20.837480000000003</v>
      </c>
      <c r="H270" s="55" t="str">
        <f t="shared" si="30"/>
        <v>Empalme Recto Linea MT Protegida Compacta 13,2 KV 70 mm AL incluye Termocontraible c/adhesivo largo 250 y s/adhesivo largo 300</v>
      </c>
      <c r="I270" s="55">
        <v>13.2</v>
      </c>
      <c r="J270" s="69">
        <f t="shared" si="31"/>
        <v>7761</v>
      </c>
    </row>
    <row r="271" spans="1:10" ht="36.75" thickBot="1" x14ac:dyDescent="0.3">
      <c r="A271" s="143"/>
      <c r="B271" s="200">
        <v>7762</v>
      </c>
      <c r="C271" s="95" t="s">
        <v>260</v>
      </c>
      <c r="D271" s="96" t="s">
        <v>51</v>
      </c>
      <c r="E271" s="199">
        <f t="shared" si="32"/>
        <v>13.925118240000002</v>
      </c>
      <c r="F271" s="201"/>
      <c r="G271" s="55">
        <v>20.358360000000001</v>
      </c>
      <c r="H271" s="55" t="str">
        <f t="shared" si="30"/>
        <v>Empalme Recto Linea MT Protegida Compacta 13,2 KV 95 mm AL incluye Termocontraible c/adhesivo largo 260 y s/adhesivo largo 320</v>
      </c>
      <c r="I271" s="55">
        <v>13.2</v>
      </c>
      <c r="J271" s="69">
        <f t="shared" si="31"/>
        <v>7762</v>
      </c>
    </row>
    <row r="272" spans="1:10" x14ac:dyDescent="0.25">
      <c r="A272" s="143"/>
      <c r="B272" s="202"/>
      <c r="C272" s="202"/>
      <c r="D272" s="202"/>
      <c r="E272" s="203"/>
      <c r="F272" s="202"/>
      <c r="G272" s="55">
        <v>0</v>
      </c>
      <c r="H272" s="55">
        <f t="shared" si="30"/>
        <v>0</v>
      </c>
      <c r="I272" s="55">
        <v>13.2</v>
      </c>
      <c r="J272" s="69">
        <f t="shared" si="31"/>
        <v>0</v>
      </c>
    </row>
    <row r="273" spans="1:10" ht="16.5" thickBot="1" x14ac:dyDescent="0.3">
      <c r="A273" s="143"/>
      <c r="B273" s="313" t="s">
        <v>261</v>
      </c>
      <c r="C273" s="313"/>
      <c r="D273" s="313"/>
      <c r="E273" s="313"/>
      <c r="F273" s="313"/>
      <c r="G273" s="55">
        <v>0</v>
      </c>
      <c r="H273" s="55">
        <f t="shared" si="30"/>
        <v>0</v>
      </c>
      <c r="I273" s="55">
        <v>13.2</v>
      </c>
      <c r="J273" s="69" t="str">
        <f t="shared" si="31"/>
        <v>Empalmes Rectos Línea Media Tensión Protegida Convencional 13,2 KV</v>
      </c>
    </row>
    <row r="274" spans="1:10" ht="36.75" thickBot="1" x14ac:dyDescent="0.3">
      <c r="A274" s="143"/>
      <c r="B274" s="196">
        <v>7765</v>
      </c>
      <c r="C274" s="197" t="s">
        <v>262</v>
      </c>
      <c r="D274" s="198" t="s">
        <v>51</v>
      </c>
      <c r="E274" s="199">
        <f>+G274*0.8*0.9*0.95</f>
        <v>17.287128720000002</v>
      </c>
      <c r="F274" s="198"/>
      <c r="G274" s="55">
        <v>25.273580000000003</v>
      </c>
      <c r="H274" s="55" t="str">
        <f t="shared" si="30"/>
        <v>Empalme Recto Linea MT Protegida Convencional 13,2 KV 50 mm AL incluye Termocontraible c/adhesivo largo 360 y s/adhesivo largo 400</v>
      </c>
      <c r="I274" s="55">
        <v>13.2</v>
      </c>
      <c r="J274" s="69">
        <f t="shared" si="31"/>
        <v>7765</v>
      </c>
    </row>
    <row r="275" spans="1:10" ht="36.75" thickBot="1" x14ac:dyDescent="0.3">
      <c r="A275" s="143"/>
      <c r="B275" s="90">
        <v>7766</v>
      </c>
      <c r="C275" s="91" t="s">
        <v>263</v>
      </c>
      <c r="D275" s="92" t="s">
        <v>51</v>
      </c>
      <c r="E275" s="199">
        <f t="shared" ref="E275:E277" si="33">+G275*0.8*0.9*0.95</f>
        <v>16.947810000000004</v>
      </c>
      <c r="F275" s="92"/>
      <c r="G275" s="55">
        <v>24.7775</v>
      </c>
      <c r="H275" s="55" t="str">
        <f t="shared" si="30"/>
        <v>Empalme Recto Linea MT Protegida Convencional 13,2 KV 70 mm AL incluye Termocontraible c/adhesivo largo 360 y s/adhesivo largo 400</v>
      </c>
      <c r="I275" s="55">
        <v>13.2</v>
      </c>
      <c r="J275" s="69">
        <f t="shared" si="31"/>
        <v>7766</v>
      </c>
    </row>
    <row r="276" spans="1:10" ht="36.75" thickBot="1" x14ac:dyDescent="0.3">
      <c r="A276" s="143"/>
      <c r="B276" s="90">
        <v>7767</v>
      </c>
      <c r="C276" s="91" t="s">
        <v>264</v>
      </c>
      <c r="D276" s="92" t="s">
        <v>51</v>
      </c>
      <c r="E276" s="199">
        <f t="shared" si="33"/>
        <v>25.151637600000001</v>
      </c>
      <c r="F276" s="92"/>
      <c r="G276" s="55">
        <v>36.7714</v>
      </c>
      <c r="H276" s="55" t="str">
        <f t="shared" si="30"/>
        <v>Empalme Recto Linea MT Protegida Convencional 13,2 KV 95 mm AL incluye Termocontraible c/adhesivo largo 420 y s/adhesivo largo 450</v>
      </c>
      <c r="I276" s="55">
        <v>13.2</v>
      </c>
      <c r="J276" s="69">
        <f t="shared" si="31"/>
        <v>7767</v>
      </c>
    </row>
    <row r="277" spans="1:10" ht="36.75" thickBot="1" x14ac:dyDescent="0.3">
      <c r="A277" s="143"/>
      <c r="B277" s="94">
        <v>7768</v>
      </c>
      <c r="C277" s="204" t="s">
        <v>265</v>
      </c>
      <c r="D277" s="92" t="s">
        <v>51</v>
      </c>
      <c r="E277" s="199">
        <f t="shared" si="33"/>
        <v>24.992853840000002</v>
      </c>
      <c r="F277" s="201"/>
      <c r="G277" s="55">
        <v>36.539259999999999</v>
      </c>
      <c r="H277" s="55" t="str">
        <f t="shared" si="30"/>
        <v>Empalme Recto Linea MT Protegida Convencional 13,2 KV 120 mm AL incluye Termocontraible c/adhesivo largo 420 y s/adhesivo largo 450</v>
      </c>
      <c r="I277" s="55">
        <v>13.2</v>
      </c>
      <c r="J277" s="69">
        <f t="shared" si="31"/>
        <v>7768</v>
      </c>
    </row>
    <row r="278" spans="1:10" x14ac:dyDescent="0.25">
      <c r="A278" s="143"/>
      <c r="H278" s="55">
        <f t="shared" si="30"/>
        <v>0</v>
      </c>
      <c r="I278" s="55">
        <v>13.2</v>
      </c>
      <c r="J278" s="69">
        <f t="shared" si="31"/>
        <v>0</v>
      </c>
    </row>
    <row r="279" spans="1:10" x14ac:dyDescent="0.25">
      <c r="B279" s="55">
        <v>4003035</v>
      </c>
      <c r="C279" s="55" t="s">
        <v>267</v>
      </c>
      <c r="E279" s="56">
        <v>1.77</v>
      </c>
      <c r="H279" s="55" t="str">
        <f t="shared" si="30"/>
        <v>METROS DE CABLE PROTEGIDO 35mm ECO COMPAC</v>
      </c>
      <c r="I279" s="55">
        <v>13.2</v>
      </c>
      <c r="J279" s="69">
        <f t="shared" si="31"/>
        <v>4003035</v>
      </c>
    </row>
    <row r="280" spans="1:10" x14ac:dyDescent="0.25">
      <c r="B280" s="55">
        <v>4003050</v>
      </c>
      <c r="C280" s="55" t="s">
        <v>11</v>
      </c>
      <c r="E280" s="56">
        <f>2.04*0.95</f>
        <v>1.9379999999999999</v>
      </c>
      <c r="H280" s="55" t="str">
        <f t="shared" si="30"/>
        <v>METROS DE CABLE PROTEGIDO 50mm ECO COMPAC</v>
      </c>
      <c r="I280" s="55">
        <v>13.2</v>
      </c>
      <c r="J280" s="69">
        <f t="shared" si="31"/>
        <v>4003050</v>
      </c>
    </row>
    <row r="281" spans="1:10" x14ac:dyDescent="0.25">
      <c r="B281" s="55">
        <v>4003070</v>
      </c>
      <c r="C281" s="55" t="s">
        <v>268</v>
      </c>
      <c r="E281" s="56">
        <v>2.4319999999999999</v>
      </c>
      <c r="H281" s="55" t="str">
        <f t="shared" si="30"/>
        <v>METROS DE CABLE PROTEGIDO 70mm ECO COMPAC</v>
      </c>
      <c r="I281" s="55">
        <v>13.2</v>
      </c>
      <c r="J281" s="69">
        <f t="shared" si="31"/>
        <v>4003070</v>
      </c>
    </row>
    <row r="282" spans="1:10" x14ac:dyDescent="0.25">
      <c r="B282" s="229">
        <v>4003095</v>
      </c>
      <c r="C282" s="229" t="s">
        <v>269</v>
      </c>
      <c r="D282" s="229"/>
      <c r="E282" s="230"/>
      <c r="H282" s="55" t="str">
        <f t="shared" si="30"/>
        <v>METROS DE CABLE PROTEGIDO 95mm ECO COMPAC</v>
      </c>
      <c r="I282" s="55">
        <v>13.2</v>
      </c>
      <c r="J282" s="69">
        <f t="shared" si="31"/>
        <v>4003095</v>
      </c>
    </row>
    <row r="283" spans="1:10" x14ac:dyDescent="0.25">
      <c r="B283" s="55">
        <v>328109</v>
      </c>
      <c r="C283" s="55" t="s">
        <v>280</v>
      </c>
      <c r="E283" s="56">
        <v>1.1870000000000001</v>
      </c>
      <c r="H283" s="55" t="str">
        <f t="shared" si="30"/>
        <v>MN101 CABLE ACERO GALV, 7 H</v>
      </c>
      <c r="J283" s="69">
        <f t="shared" si="31"/>
        <v>328109</v>
      </c>
    </row>
    <row r="284" spans="1:10" x14ac:dyDescent="0.25">
      <c r="B284" s="55">
        <v>327100</v>
      </c>
      <c r="C284" s="55" t="s">
        <v>285</v>
      </c>
      <c r="E284" s="56">
        <v>0.59</v>
      </c>
      <c r="J284" s="69">
        <f t="shared" si="31"/>
        <v>327100</v>
      </c>
    </row>
    <row r="285" spans="1:10" x14ac:dyDescent="0.25">
      <c r="B285" s="55">
        <v>401120</v>
      </c>
      <c r="C285" s="55" t="s">
        <v>276</v>
      </c>
      <c r="E285" s="56">
        <v>3.4420000000000002</v>
      </c>
    </row>
    <row r="286" spans="1:10" x14ac:dyDescent="0.25">
      <c r="B286" s="55">
        <v>204800</v>
      </c>
      <c r="C286" s="55" t="s">
        <v>275</v>
      </c>
      <c r="E286" s="56">
        <v>0.45</v>
      </c>
    </row>
    <row r="287" spans="1:10" x14ac:dyDescent="0.25">
      <c r="B287" s="55">
        <v>206000</v>
      </c>
      <c r="C287" s="55" t="s">
        <v>23</v>
      </c>
      <c r="E287" s="56">
        <v>0.505</v>
      </c>
    </row>
    <row r="288" spans="1:10" s="229" customFormat="1" x14ac:dyDescent="0.25">
      <c r="B288" s="229">
        <v>401157</v>
      </c>
      <c r="C288" s="229" t="s">
        <v>26</v>
      </c>
      <c r="E288" s="230">
        <v>4.4950000000000001</v>
      </c>
    </row>
    <row r="290" spans="2:5" x14ac:dyDescent="0.25">
      <c r="B290" s="55">
        <v>407350</v>
      </c>
      <c r="C290" s="55" t="s">
        <v>381</v>
      </c>
      <c r="E290" s="56">
        <v>5.5540000000000003</v>
      </c>
    </row>
    <row r="291" spans="2:5" x14ac:dyDescent="0.25">
      <c r="B291" s="55">
        <v>235021</v>
      </c>
      <c r="C291" s="55" t="s">
        <v>30</v>
      </c>
      <c r="E291" s="56">
        <v>23.867000000000001</v>
      </c>
    </row>
    <row r="292" spans="2:5" x14ac:dyDescent="0.25">
      <c r="B292" s="55">
        <v>232240</v>
      </c>
      <c r="C292" s="55" t="s">
        <v>39</v>
      </c>
      <c r="E292" s="56">
        <v>2.3079999999999998</v>
      </c>
    </row>
    <row r="293" spans="2:5" x14ac:dyDescent="0.25">
      <c r="B293" s="55">
        <v>111311</v>
      </c>
      <c r="C293" s="55" t="s">
        <v>32</v>
      </c>
      <c r="E293" s="56">
        <v>12.632</v>
      </c>
    </row>
    <row r="294" spans="2:5" x14ac:dyDescent="0.25">
      <c r="B294" s="55">
        <v>233800</v>
      </c>
      <c r="C294" s="55" t="s">
        <v>289</v>
      </c>
      <c r="E294" s="56">
        <v>1.6</v>
      </c>
    </row>
    <row r="295" spans="2:5" x14ac:dyDescent="0.25">
      <c r="B295" s="55">
        <v>235060</v>
      </c>
      <c r="C295" s="55" t="s">
        <v>277</v>
      </c>
      <c r="E295" s="56">
        <v>1.93</v>
      </c>
    </row>
    <row r="296" spans="2:5" x14ac:dyDescent="0.25">
      <c r="B296" s="55">
        <v>231900</v>
      </c>
      <c r="C296" s="55" t="s">
        <v>288</v>
      </c>
      <c r="E296" s="56">
        <v>4.04</v>
      </c>
    </row>
    <row r="297" spans="2:5" x14ac:dyDescent="0.25">
      <c r="B297" s="55">
        <v>641431</v>
      </c>
      <c r="C297" s="55" t="s">
        <v>278</v>
      </c>
      <c r="E297" s="56">
        <f>6.316*0.95</f>
        <v>6.0001999999999995</v>
      </c>
    </row>
    <row r="298" spans="2:5" x14ac:dyDescent="0.25">
      <c r="B298" s="55">
        <v>236000</v>
      </c>
      <c r="C298" s="55" t="s">
        <v>292</v>
      </c>
      <c r="E298" s="56">
        <v>6.0960000000000001</v>
      </c>
    </row>
    <row r="299" spans="2:5" x14ac:dyDescent="0.25">
      <c r="B299" s="55">
        <v>236005</v>
      </c>
      <c r="C299" s="55" t="s">
        <v>38</v>
      </c>
      <c r="E299" s="56">
        <v>12.099</v>
      </c>
    </row>
    <row r="300" spans="2:5" x14ac:dyDescent="0.25">
      <c r="B300" s="55">
        <v>111311</v>
      </c>
      <c r="C300" s="55" t="s">
        <v>32</v>
      </c>
      <c r="E300" s="56">
        <v>12.632</v>
      </c>
    </row>
    <row r="301" spans="2:5" x14ac:dyDescent="0.25">
      <c r="B301" s="55">
        <v>111339</v>
      </c>
      <c r="C301" s="55" t="s">
        <v>271</v>
      </c>
      <c r="E301" s="56">
        <v>18.5</v>
      </c>
    </row>
  </sheetData>
  <mergeCells count="14">
    <mergeCell ref="B268:F268"/>
    <mergeCell ref="B273:F273"/>
    <mergeCell ref="B26:F26"/>
    <mergeCell ref="B37:F37"/>
    <mergeCell ref="B51:F51"/>
    <mergeCell ref="B63:F63"/>
    <mergeCell ref="B64:F64"/>
    <mergeCell ref="B68:F68"/>
    <mergeCell ref="F21:F24"/>
    <mergeCell ref="B4:F4"/>
    <mergeCell ref="B5:C5"/>
    <mergeCell ref="B13:F13"/>
    <mergeCell ref="B15:F15"/>
    <mergeCell ref="B20:F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CALCULO APROXIMADO DE ELEMENTOS</vt:lpstr>
      <vt:lpstr>DATOS</vt:lpstr>
      <vt:lpstr>'CALCULO APROXIMADO DE ELEMENTOS'!Área_de_impresión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Locicero</dc:creator>
  <cp:lastModifiedBy>Jorge Locicero</cp:lastModifiedBy>
  <cp:lastPrinted>2019-10-21T16:41:55Z</cp:lastPrinted>
  <dcterms:created xsi:type="dcterms:W3CDTF">2019-08-19T16:46:15Z</dcterms:created>
  <dcterms:modified xsi:type="dcterms:W3CDTF">2022-05-02T12:56:59Z</dcterms:modified>
</cp:coreProperties>
</file>